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DADCE86-95FC-40DE-B012-640F7C2EE71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зп" sheetId="11" r:id="rId1"/>
    <sheet name="Бюджет" sheetId="2" r:id="rId2"/>
    <sheet name="внебюджет" sheetId="3" r:id="rId3"/>
    <sheet name="Целевые" sheetId="4" r:id="rId4"/>
  </sheets>
  <definedNames>
    <definedName name="_xlnm.Print_Area" localSheetId="1">Бюджет!$A$1:$L$169</definedName>
    <definedName name="_xlnm.Print_Area" localSheetId="2">внебюджет!$A$1:$M$281</definedName>
    <definedName name="_xlnm.Print_Area" localSheetId="0">зп!$A$1:$V$76</definedName>
    <definedName name="_xlnm.Print_Area" localSheetId="3">Целевые!$A$1:$L$166</definedName>
  </definedNames>
  <calcPr calcId="181029" fullPrecision="0"/>
</workbook>
</file>

<file path=xl/calcChain.xml><?xml version="1.0" encoding="utf-8"?>
<calcChain xmlns="http://schemas.openxmlformats.org/spreadsheetml/2006/main">
  <c r="F157" i="2" l="1"/>
  <c r="E26" i="2"/>
  <c r="E179" i="3"/>
  <c r="K179" i="3" s="1"/>
  <c r="E177" i="3"/>
  <c r="E268" i="3"/>
  <c r="K268" i="3" s="1"/>
  <c r="E267" i="3"/>
  <c r="K267" i="3" s="1"/>
  <c r="E266" i="3"/>
  <c r="K266" i="3" s="1"/>
  <c r="E192" i="3"/>
  <c r="E241" i="3"/>
  <c r="G227" i="3"/>
  <c r="E227" i="3"/>
  <c r="J227" i="3" s="1"/>
  <c r="J226" i="3"/>
  <c r="K178" i="3"/>
  <c r="E134" i="4"/>
  <c r="E118" i="4"/>
  <c r="J118" i="4" s="1"/>
  <c r="J119" i="4" s="1"/>
  <c r="G9" i="3"/>
  <c r="E188" i="3"/>
  <c r="E249" i="3"/>
  <c r="E196" i="3"/>
  <c r="E167" i="3"/>
  <c r="E235" i="3"/>
  <c r="E234" i="3"/>
  <c r="K209" i="3"/>
  <c r="K245" i="3"/>
  <c r="K244" i="3"/>
  <c r="K243" i="3"/>
  <c r="K242" i="3"/>
  <c r="H265" i="3"/>
  <c r="H264" i="3"/>
  <c r="H269" i="3"/>
  <c r="H256" i="3"/>
  <c r="H257" i="3"/>
  <c r="H210" i="3"/>
  <c r="H195" i="3"/>
  <c r="H192" i="3"/>
  <c r="J151" i="3"/>
  <c r="H131" i="3"/>
  <c r="K130" i="3"/>
  <c r="H50" i="3"/>
  <c r="H55" i="3"/>
  <c r="H52" i="3"/>
  <c r="H45" i="3"/>
  <c r="G31" i="2"/>
  <c r="G148" i="4"/>
  <c r="G149" i="4" s="1"/>
  <c r="G137" i="4"/>
  <c r="G42" i="4"/>
  <c r="G44" i="4"/>
  <c r="G47" i="4"/>
  <c r="G37" i="4"/>
  <c r="I159" i="2"/>
  <c r="G136" i="2"/>
  <c r="G138" i="2" s="1"/>
  <c r="H270" i="3" l="1"/>
  <c r="G33" i="2"/>
  <c r="G36" i="2"/>
  <c r="G26" i="2"/>
  <c r="G127" i="2"/>
  <c r="G125" i="2"/>
  <c r="G126" i="2"/>
  <c r="G124" i="2"/>
  <c r="G123" i="2"/>
  <c r="G122" i="2"/>
  <c r="I106" i="2"/>
  <c r="I104" i="2"/>
  <c r="I103" i="2"/>
  <c r="G85" i="2"/>
  <c r="G87" i="2" s="1"/>
  <c r="I107" i="2" l="1"/>
  <c r="G128" i="2"/>
  <c r="E193" i="3"/>
  <c r="E135" i="4"/>
  <c r="E137" i="4" s="1"/>
  <c r="E147" i="4"/>
  <c r="E149" i="4" s="1"/>
  <c r="E237" i="3"/>
  <c r="E262" i="3"/>
  <c r="E265" i="3"/>
  <c r="K265" i="3" s="1"/>
  <c r="E258" i="3"/>
  <c r="E257" i="3"/>
  <c r="E264" i="3"/>
  <c r="E256" i="3"/>
  <c r="E270" i="3" s="1"/>
  <c r="K241" i="3"/>
  <c r="E236" i="3"/>
  <c r="E195" i="3"/>
  <c r="E170" i="3"/>
  <c r="E181" i="3" s="1"/>
  <c r="E240" i="3"/>
  <c r="K240" i="3" s="1"/>
  <c r="G280" i="3"/>
  <c r="E189" i="3"/>
  <c r="K177" i="3"/>
  <c r="E124" i="2"/>
  <c r="E126" i="2"/>
  <c r="J126" i="2" s="1"/>
  <c r="F158" i="2"/>
  <c r="F104" i="2"/>
  <c r="F103" i="2"/>
  <c r="E128" i="2" l="1"/>
  <c r="F159" i="2"/>
  <c r="J135" i="4"/>
  <c r="E247" i="3"/>
  <c r="F107" i="2"/>
  <c r="J147" i="4"/>
  <c r="J149" i="4" s="1"/>
  <c r="F85" i="2" l="1"/>
  <c r="E191" i="3"/>
  <c r="K208" i="3"/>
  <c r="D264" i="3"/>
  <c r="K264" i="3"/>
  <c r="K263" i="3"/>
  <c r="D263" i="3"/>
  <c r="K207" i="3"/>
  <c r="K206" i="3"/>
  <c r="K205" i="3"/>
  <c r="K176" i="3"/>
  <c r="K175" i="3"/>
  <c r="K174" i="3"/>
  <c r="K173" i="3"/>
  <c r="K129" i="3"/>
  <c r="G131" i="3"/>
  <c r="E31" i="2"/>
  <c r="F31" i="2" s="1"/>
  <c r="D256" i="3"/>
  <c r="L279" i="3"/>
  <c r="C280" i="3"/>
  <c r="C279" i="3"/>
  <c r="K279" i="3" s="1"/>
  <c r="C105" i="2"/>
  <c r="C149" i="3"/>
  <c r="K172" i="3"/>
  <c r="K10" i="3"/>
  <c r="F87" i="2" l="1"/>
  <c r="E85" i="2"/>
  <c r="E194" i="3"/>
  <c r="E211" i="3" s="1"/>
  <c r="E91" i="3"/>
  <c r="J137" i="2" l="1"/>
  <c r="E147" i="2"/>
  <c r="C9" i="4"/>
  <c r="E127" i="4"/>
  <c r="K167" i="3"/>
  <c r="K259" i="3"/>
  <c r="F26" i="2"/>
  <c r="M279" i="3"/>
  <c r="M280" i="3"/>
  <c r="K203" i="3"/>
  <c r="K170" i="3"/>
  <c r="K171" i="3"/>
  <c r="K189" i="3"/>
  <c r="K192" i="3"/>
  <c r="K256" i="3"/>
  <c r="L158" i="2"/>
  <c r="K27" i="11"/>
  <c r="D236" i="3"/>
  <c r="D262" i="3"/>
  <c r="D251" i="3"/>
  <c r="E99" i="3"/>
  <c r="K199" i="3"/>
  <c r="E128" i="3"/>
  <c r="K262" i="3"/>
  <c r="K198" i="3"/>
  <c r="K197" i="3"/>
  <c r="K239" i="3"/>
  <c r="K238" i="3"/>
  <c r="K196" i="3"/>
  <c r="K190" i="3"/>
  <c r="K204" i="3"/>
  <c r="J281" i="3"/>
  <c r="D27" i="11"/>
  <c r="E17" i="11"/>
  <c r="E18" i="11"/>
  <c r="L18" i="11" s="1"/>
  <c r="E19" i="11"/>
  <c r="I19" i="11" s="1"/>
  <c r="E20" i="11"/>
  <c r="E21" i="11"/>
  <c r="E22" i="11"/>
  <c r="L22" i="11" s="1"/>
  <c r="E23" i="11"/>
  <c r="L23" i="11" s="1"/>
  <c r="E24" i="11"/>
  <c r="L24" i="11" s="1"/>
  <c r="E25" i="11"/>
  <c r="E26" i="11"/>
  <c r="E16" i="11"/>
  <c r="L16" i="11" s="1"/>
  <c r="C27" i="11"/>
  <c r="C66" i="11"/>
  <c r="C57" i="11"/>
  <c r="C48" i="11"/>
  <c r="C67" i="11" s="1"/>
  <c r="E51" i="11"/>
  <c r="L51" i="11" s="1"/>
  <c r="P66" i="11"/>
  <c r="O66" i="11"/>
  <c r="M66" i="11"/>
  <c r="J66" i="11"/>
  <c r="H66" i="11"/>
  <c r="G66" i="11"/>
  <c r="D66" i="11"/>
  <c r="E65" i="11"/>
  <c r="L65" i="11" s="1"/>
  <c r="E64" i="11"/>
  <c r="I64" i="11" s="1"/>
  <c r="E63" i="11"/>
  <c r="L63" i="11" s="1"/>
  <c r="E62" i="11"/>
  <c r="E61" i="11"/>
  <c r="E60" i="11"/>
  <c r="L60" i="11"/>
  <c r="E59" i="11"/>
  <c r="E66" i="11" s="1"/>
  <c r="I58" i="11"/>
  <c r="P57" i="11"/>
  <c r="O57" i="11"/>
  <c r="M57" i="11"/>
  <c r="K57" i="11"/>
  <c r="J57" i="11"/>
  <c r="H57" i="11"/>
  <c r="G57" i="11"/>
  <c r="D57" i="11"/>
  <c r="E56" i="11"/>
  <c r="I56" i="11" s="1"/>
  <c r="E55" i="11"/>
  <c r="E54" i="11"/>
  <c r="I54" i="11" s="1"/>
  <c r="E53" i="11"/>
  <c r="L53" i="11" s="1"/>
  <c r="E52" i="11"/>
  <c r="L52" i="11" s="1"/>
  <c r="E50" i="11"/>
  <c r="L50" i="11" s="1"/>
  <c r="R48" i="11"/>
  <c r="P48" i="11"/>
  <c r="O48" i="11"/>
  <c r="K48" i="11"/>
  <c r="J48" i="11"/>
  <c r="H48" i="11"/>
  <c r="D48" i="11"/>
  <c r="E47" i="11"/>
  <c r="I47" i="11" s="1"/>
  <c r="E46" i="11"/>
  <c r="I46" i="11" s="1"/>
  <c r="E45" i="11"/>
  <c r="I45" i="11" s="1"/>
  <c r="E44" i="11"/>
  <c r="I44" i="11" s="1"/>
  <c r="E43" i="11"/>
  <c r="I43" i="11" s="1"/>
  <c r="E42" i="11"/>
  <c r="I42" i="11" s="1"/>
  <c r="E41" i="11"/>
  <c r="I41" i="11" s="1"/>
  <c r="M40" i="11"/>
  <c r="M48" i="11" s="1"/>
  <c r="E40" i="11"/>
  <c r="L40" i="11" s="1"/>
  <c r="G39" i="11"/>
  <c r="G48" i="11" s="1"/>
  <c r="E39" i="11"/>
  <c r="L39" i="11" s="1"/>
  <c r="E38" i="11"/>
  <c r="L38" i="11" s="1"/>
  <c r="L37" i="11"/>
  <c r="I37" i="11"/>
  <c r="S37" i="11" s="1"/>
  <c r="T37" i="11" s="1"/>
  <c r="E36" i="11"/>
  <c r="I36" i="11" s="1"/>
  <c r="E35" i="11"/>
  <c r="L35" i="11" s="1"/>
  <c r="E34" i="11"/>
  <c r="I34" i="11" s="1"/>
  <c r="E33" i="11"/>
  <c r="L33" i="11" s="1"/>
  <c r="E32" i="11"/>
  <c r="E31" i="11"/>
  <c r="L31" i="11" s="1"/>
  <c r="E30" i="11"/>
  <c r="I30" i="11" s="1"/>
  <c r="E29" i="11"/>
  <c r="I29" i="11" s="1"/>
  <c r="R27" i="11"/>
  <c r="P27" i="11"/>
  <c r="P67" i="11" s="1"/>
  <c r="O27" i="11"/>
  <c r="M27" i="11"/>
  <c r="J27" i="11"/>
  <c r="H27" i="11"/>
  <c r="G27" i="11"/>
  <c r="I21" i="11"/>
  <c r="L20" i="11"/>
  <c r="I17" i="11"/>
  <c r="L47" i="11"/>
  <c r="L41" i="11"/>
  <c r="I51" i="11"/>
  <c r="I60" i="11"/>
  <c r="S60" i="11" s="1"/>
  <c r="I65" i="11"/>
  <c r="I24" i="11"/>
  <c r="I25" i="11"/>
  <c r="L45" i="11"/>
  <c r="I20" i="11"/>
  <c r="S20" i="11" s="1"/>
  <c r="T20" i="11" s="1"/>
  <c r="L17" i="11"/>
  <c r="L21" i="11"/>
  <c r="I53" i="11"/>
  <c r="I61" i="11"/>
  <c r="L32" i="11"/>
  <c r="L56" i="11"/>
  <c r="L64" i="11"/>
  <c r="L30" i="11"/>
  <c r="S30" i="11" s="1"/>
  <c r="T30" i="11" s="1"/>
  <c r="L36" i="11"/>
  <c r="S36" i="11" s="1"/>
  <c r="T36" i="11" s="1"/>
  <c r="L55" i="11"/>
  <c r="I32" i="11"/>
  <c r="I55" i="11"/>
  <c r="I59" i="11"/>
  <c r="L61" i="11"/>
  <c r="G24" i="2"/>
  <c r="G146" i="4"/>
  <c r="G127" i="4"/>
  <c r="D261" i="3"/>
  <c r="K261" i="3"/>
  <c r="D260" i="3"/>
  <c r="K260" i="3"/>
  <c r="C150" i="3"/>
  <c r="K150" i="3" s="1"/>
  <c r="M149" i="3"/>
  <c r="M148" i="3"/>
  <c r="C147" i="3"/>
  <c r="K147" i="3" s="1"/>
  <c r="K191" i="3"/>
  <c r="K195" i="3"/>
  <c r="K104" i="2"/>
  <c r="K105" i="2"/>
  <c r="K106" i="2"/>
  <c r="J105" i="2"/>
  <c r="K103" i="2"/>
  <c r="C104" i="2"/>
  <c r="J104" i="2" s="1"/>
  <c r="C106" i="2"/>
  <c r="J106" i="2" s="1"/>
  <c r="C103" i="2"/>
  <c r="J103" i="2" s="1"/>
  <c r="L105" i="2"/>
  <c r="L104" i="2"/>
  <c r="G35" i="4"/>
  <c r="G10" i="4"/>
  <c r="F10" i="4"/>
  <c r="J10" i="4" s="1"/>
  <c r="J9" i="4"/>
  <c r="E146" i="4"/>
  <c r="J146" i="4" s="1"/>
  <c r="D255" i="3"/>
  <c r="D253" i="3"/>
  <c r="D252" i="3"/>
  <c r="D250" i="3"/>
  <c r="D258" i="3"/>
  <c r="K258" i="3"/>
  <c r="G11" i="3"/>
  <c r="E45" i="3" s="1"/>
  <c r="E52" i="3" s="1"/>
  <c r="G52" i="3" s="1"/>
  <c r="K52" i="3" s="1"/>
  <c r="K202" i="3"/>
  <c r="K201" i="3"/>
  <c r="K168" i="3"/>
  <c r="E127" i="3"/>
  <c r="J123" i="2"/>
  <c r="D248" i="3"/>
  <c r="E139" i="3"/>
  <c r="K131" i="3"/>
  <c r="F16" i="2"/>
  <c r="J16" i="2" s="1"/>
  <c r="E138" i="2"/>
  <c r="L103" i="2"/>
  <c r="L106" i="2"/>
  <c r="D257" i="3"/>
  <c r="K200" i="3"/>
  <c r="K193" i="3"/>
  <c r="K194" i="3"/>
  <c r="H181" i="3"/>
  <c r="E36" i="3"/>
  <c r="K35" i="3"/>
  <c r="K36" i="3" s="1"/>
  <c r="K65" i="3"/>
  <c r="J17" i="4"/>
  <c r="J18" i="4" s="1"/>
  <c r="J43" i="4"/>
  <c r="J45" i="4"/>
  <c r="J46" i="4"/>
  <c r="K257" i="3"/>
  <c r="K280" i="3"/>
  <c r="L280" i="3"/>
  <c r="E47" i="4"/>
  <c r="F47" i="4" s="1"/>
  <c r="J47" i="4" s="1"/>
  <c r="E44" i="4"/>
  <c r="F44" i="4" s="1"/>
  <c r="E42" i="4"/>
  <c r="J136" i="4"/>
  <c r="K90" i="3"/>
  <c r="K91" i="3" s="1"/>
  <c r="D138" i="3"/>
  <c r="H150" i="3"/>
  <c r="H247" i="3"/>
  <c r="H91" i="3"/>
  <c r="H48" i="3"/>
  <c r="K98" i="3"/>
  <c r="H99" i="3"/>
  <c r="L160" i="4"/>
  <c r="I160" i="4"/>
  <c r="F160" i="4"/>
  <c r="K158" i="2"/>
  <c r="G158" i="2"/>
  <c r="G157" i="2"/>
  <c r="K255" i="3"/>
  <c r="K237" i="3"/>
  <c r="D235" i="3"/>
  <c r="K235" i="3"/>
  <c r="L157" i="2"/>
  <c r="J136" i="2"/>
  <c r="K127" i="3"/>
  <c r="D254" i="3"/>
  <c r="K254" i="3"/>
  <c r="G147" i="2"/>
  <c r="K269" i="3"/>
  <c r="E75" i="3"/>
  <c r="K74" i="3"/>
  <c r="K75" i="3" s="1"/>
  <c r="H219" i="3"/>
  <c r="H11" i="3"/>
  <c r="J86" i="2"/>
  <c r="G16" i="2"/>
  <c r="J125" i="2"/>
  <c r="K126" i="3"/>
  <c r="K253" i="3"/>
  <c r="K252" i="3"/>
  <c r="L150" i="3"/>
  <c r="K218" i="3"/>
  <c r="K219" i="3" s="1"/>
  <c r="K166" i="3"/>
  <c r="J101" i="4"/>
  <c r="J102" i="4" s="1"/>
  <c r="H19" i="3"/>
  <c r="G7" i="2"/>
  <c r="G102" i="4"/>
  <c r="E102" i="4"/>
  <c r="J94" i="2"/>
  <c r="J95" i="2" s="1"/>
  <c r="L147" i="3"/>
  <c r="L148" i="3"/>
  <c r="K18" i="3"/>
  <c r="G19" i="3"/>
  <c r="K19" i="3" s="1"/>
  <c r="H211" i="3"/>
  <c r="F6" i="2"/>
  <c r="J6" i="2" s="1"/>
  <c r="G56" i="2"/>
  <c r="J127" i="4"/>
  <c r="K248" i="3"/>
  <c r="K250" i="3"/>
  <c r="H139" i="3"/>
  <c r="K138" i="3"/>
  <c r="K139" i="3" s="1"/>
  <c r="H83" i="3"/>
  <c r="H43" i="3"/>
  <c r="K44" i="3"/>
  <c r="K46" i="3"/>
  <c r="K47" i="3"/>
  <c r="K49" i="3"/>
  <c r="K51" i="3"/>
  <c r="K53" i="3"/>
  <c r="K54" i="3"/>
  <c r="J135" i="2"/>
  <c r="J122" i="2"/>
  <c r="J124" i="2"/>
  <c r="J55" i="2"/>
  <c r="J15" i="2"/>
  <c r="E84" i="4"/>
  <c r="J134" i="4"/>
  <c r="J137" i="4" s="1"/>
  <c r="E56" i="2"/>
  <c r="J56" i="2" s="1"/>
  <c r="K83" i="3"/>
  <c r="E116" i="3"/>
  <c r="K9" i="3"/>
  <c r="E119" i="4"/>
  <c r="F111" i="4"/>
  <c r="E74" i="4"/>
  <c r="E75" i="4" s="1"/>
  <c r="E66" i="4"/>
  <c r="E56" i="4"/>
  <c r="E57" i="4" s="1"/>
  <c r="F37" i="4"/>
  <c r="F35" i="4" s="1"/>
  <c r="J35" i="4" s="1"/>
  <c r="F26" i="4"/>
  <c r="F18" i="4"/>
  <c r="F94" i="4"/>
  <c r="E83" i="3"/>
  <c r="E159" i="3"/>
  <c r="E65" i="3"/>
  <c r="G26" i="3"/>
  <c r="G27" i="3" s="1"/>
  <c r="E115" i="2"/>
  <c r="E73" i="2"/>
  <c r="E74" i="2" s="1"/>
  <c r="E64" i="2"/>
  <c r="E65" i="2" s="1"/>
  <c r="E45" i="2"/>
  <c r="E46" i="2" s="1"/>
  <c r="E95" i="2"/>
  <c r="E219" i="3"/>
  <c r="K157" i="2"/>
  <c r="C157" i="2"/>
  <c r="J157" i="2" s="1"/>
  <c r="I40" i="11"/>
  <c r="I35" i="11"/>
  <c r="L42" i="11"/>
  <c r="L44" i="11"/>
  <c r="S55" i="11" l="1"/>
  <c r="T55" i="11" s="1"/>
  <c r="L46" i="11"/>
  <c r="I16" i="11"/>
  <c r="L26" i="11"/>
  <c r="L62" i="11"/>
  <c r="S16" i="11"/>
  <c r="T16" i="11" s="1"/>
  <c r="I33" i="11"/>
  <c r="S33" i="11" s="1"/>
  <c r="I62" i="11"/>
  <c r="S62" i="11" s="1"/>
  <c r="T62" i="11" s="1"/>
  <c r="L25" i="11"/>
  <c r="S25" i="11"/>
  <c r="T25" i="11" s="1"/>
  <c r="L59" i="11"/>
  <c r="S59" i="11" s="1"/>
  <c r="P13" i="3"/>
  <c r="H56" i="3"/>
  <c r="H316" i="3" s="1"/>
  <c r="J37" i="4"/>
  <c r="T60" i="11"/>
  <c r="Q60" i="11"/>
  <c r="R60" i="11" s="1"/>
  <c r="E27" i="11"/>
  <c r="S21" i="11"/>
  <c r="T21" i="11" s="1"/>
  <c r="I39" i="11"/>
  <c r="L54" i="11"/>
  <c r="L57" i="11" s="1"/>
  <c r="L19" i="11"/>
  <c r="S19" i="11" s="1"/>
  <c r="T19" i="11" s="1"/>
  <c r="I26" i="11"/>
  <c r="I18" i="11"/>
  <c r="I22" i="11"/>
  <c r="S22" i="11" s="1"/>
  <c r="T22" i="11" s="1"/>
  <c r="H67" i="11"/>
  <c r="M67" i="11"/>
  <c r="D67" i="11"/>
  <c r="E57" i="11"/>
  <c r="S61" i="11"/>
  <c r="T61" i="11" s="1"/>
  <c r="I50" i="11"/>
  <c r="I23" i="11"/>
  <c r="S23" i="11" s="1"/>
  <c r="T23" i="11" s="1"/>
  <c r="I63" i="11"/>
  <c r="I66" i="11" s="1"/>
  <c r="L43" i="11"/>
  <c r="S43" i="11" s="1"/>
  <c r="J67" i="11"/>
  <c r="G29" i="2"/>
  <c r="G37" i="2" s="1"/>
  <c r="O42" i="2" s="1"/>
  <c r="F7" i="2"/>
  <c r="J7" i="2" s="1"/>
  <c r="F42" i="4"/>
  <c r="J42" i="4" s="1"/>
  <c r="S64" i="11"/>
  <c r="T64" i="11" s="1"/>
  <c r="S18" i="11"/>
  <c r="T18" i="11" s="1"/>
  <c r="S44" i="11"/>
  <c r="T44" i="11" s="1"/>
  <c r="O67" i="11"/>
  <c r="Q30" i="11"/>
  <c r="Q16" i="11"/>
  <c r="I31" i="11"/>
  <c r="L29" i="11"/>
  <c r="S29" i="11" s="1"/>
  <c r="T29" i="11" s="1"/>
  <c r="S42" i="11"/>
  <c r="S56" i="11"/>
  <c r="S46" i="11"/>
  <c r="T46" i="11" s="1"/>
  <c r="L159" i="2"/>
  <c r="L107" i="2"/>
  <c r="E36" i="2"/>
  <c r="F36" i="2" s="1"/>
  <c r="J36" i="2" s="1"/>
  <c r="C158" i="2"/>
  <c r="J158" i="2" s="1"/>
  <c r="J87" i="2"/>
  <c r="E33" i="2"/>
  <c r="F33" i="2" s="1"/>
  <c r="J33" i="2" s="1"/>
  <c r="K234" i="3"/>
  <c r="K169" i="3"/>
  <c r="K181" i="3" s="1"/>
  <c r="Q37" i="11"/>
  <c r="Q46" i="11"/>
  <c r="Q44" i="11"/>
  <c r="S32" i="11"/>
  <c r="T32" i="11" s="1"/>
  <c r="G67" i="11"/>
  <c r="S24" i="11"/>
  <c r="T24" i="11" s="1"/>
  <c r="S41" i="11"/>
  <c r="T41" i="11" s="1"/>
  <c r="S40" i="11"/>
  <c r="T40" i="11" s="1"/>
  <c r="S47" i="11"/>
  <c r="T47" i="11" s="1"/>
  <c r="S45" i="11"/>
  <c r="J147" i="2"/>
  <c r="S65" i="11"/>
  <c r="T65" i="11" s="1"/>
  <c r="F24" i="2"/>
  <c r="J24" i="2" s="1"/>
  <c r="J26" i="2"/>
  <c r="G40" i="4"/>
  <c r="G48" i="4" s="1"/>
  <c r="R24" i="4" s="1"/>
  <c r="S51" i="11"/>
  <c r="T51" i="11" s="1"/>
  <c r="K66" i="11"/>
  <c r="K67" i="11" s="1"/>
  <c r="S17" i="11"/>
  <c r="T17" i="11" s="1"/>
  <c r="S35" i="11"/>
  <c r="T35" i="11" s="1"/>
  <c r="I38" i="11"/>
  <c r="S53" i="11"/>
  <c r="T53" i="11" s="1"/>
  <c r="S54" i="11"/>
  <c r="T54" i="11" s="1"/>
  <c r="K236" i="3"/>
  <c r="K249" i="3"/>
  <c r="K11" i="3"/>
  <c r="Q36" i="11"/>
  <c r="Q24" i="11"/>
  <c r="Q55" i="11"/>
  <c r="R55" i="11" s="1"/>
  <c r="R57" i="11" s="1"/>
  <c r="S50" i="11"/>
  <c r="T50" i="11" s="1"/>
  <c r="Q20" i="11"/>
  <c r="L34" i="11"/>
  <c r="S31" i="11"/>
  <c r="T31" i="11" s="1"/>
  <c r="S39" i="11"/>
  <c r="T39" i="11" s="1"/>
  <c r="E48" i="11"/>
  <c r="I52" i="11"/>
  <c r="J128" i="2"/>
  <c r="J138" i="2"/>
  <c r="K188" i="3"/>
  <c r="K211" i="3" s="1"/>
  <c r="J44" i="4"/>
  <c r="M150" i="3"/>
  <c r="K251" i="3"/>
  <c r="D249" i="3"/>
  <c r="D259" i="3"/>
  <c r="D237" i="3"/>
  <c r="G45" i="3"/>
  <c r="G43" i="3" s="1"/>
  <c r="K43" i="3" s="1"/>
  <c r="M147" i="3"/>
  <c r="D238" i="3"/>
  <c r="C148" i="3"/>
  <c r="K148" i="3" s="1"/>
  <c r="D239" i="3"/>
  <c r="K99" i="3"/>
  <c r="M281" i="3"/>
  <c r="E50" i="3"/>
  <c r="G50" i="3" s="1"/>
  <c r="G151" i="3"/>
  <c r="G281" i="3"/>
  <c r="D234" i="3"/>
  <c r="E55" i="3"/>
  <c r="G55" i="3" s="1"/>
  <c r="K55" i="3" s="1"/>
  <c r="T33" i="11" l="1"/>
  <c r="Q33" i="11"/>
  <c r="L27" i="11"/>
  <c r="L66" i="11"/>
  <c r="I48" i="11"/>
  <c r="Q21" i="11"/>
  <c r="S26" i="11"/>
  <c r="T26" i="11" s="1"/>
  <c r="I27" i="11"/>
  <c r="N27" i="11" s="1"/>
  <c r="T27" i="11" s="1"/>
  <c r="Q25" i="11"/>
  <c r="Q19" i="11"/>
  <c r="Q61" i="11"/>
  <c r="Q42" i="11"/>
  <c r="T42" i="11"/>
  <c r="Q45" i="11"/>
  <c r="T45" i="11"/>
  <c r="Q59" i="11"/>
  <c r="R59" i="11" s="1"/>
  <c r="T59" i="11"/>
  <c r="Q22" i="11"/>
  <c r="Q40" i="11"/>
  <c r="Q43" i="11"/>
  <c r="T43" i="11"/>
  <c r="S63" i="11"/>
  <c r="L48" i="11"/>
  <c r="Q41" i="11"/>
  <c r="Q56" i="11"/>
  <c r="T56" i="11"/>
  <c r="Q64" i="11"/>
  <c r="R64" i="11" s="1"/>
  <c r="J31" i="2"/>
  <c r="F40" i="4"/>
  <c r="J40" i="4" s="1"/>
  <c r="Q47" i="11"/>
  <c r="Q62" i="11"/>
  <c r="R62" i="11" s="1"/>
  <c r="N66" i="11"/>
  <c r="Q18" i="11"/>
  <c r="S38" i="11"/>
  <c r="T38" i="11" s="1"/>
  <c r="K247" i="3"/>
  <c r="K45" i="3"/>
  <c r="Q32" i="11"/>
  <c r="M151" i="3"/>
  <c r="Q53" i="11"/>
  <c r="Q54" i="11"/>
  <c r="Q29" i="11"/>
  <c r="Q35" i="11"/>
  <c r="Q51" i="11"/>
  <c r="K270" i="3"/>
  <c r="Q23" i="11"/>
  <c r="S27" i="11"/>
  <c r="Q17" i="11"/>
  <c r="Q65" i="11"/>
  <c r="R65" i="11" s="1"/>
  <c r="S52" i="11"/>
  <c r="I57" i="11"/>
  <c r="E67" i="11"/>
  <c r="Q50" i="11"/>
  <c r="Q39" i="11"/>
  <c r="R61" i="11"/>
  <c r="Q26" i="11"/>
  <c r="Q31" i="11"/>
  <c r="S34" i="11"/>
  <c r="T34" i="11" s="1"/>
  <c r="K50" i="3"/>
  <c r="G48" i="3"/>
  <c r="L67" i="11" l="1"/>
  <c r="S57" i="11"/>
  <c r="T52" i="11"/>
  <c r="T63" i="11"/>
  <c r="T66" i="11" s="1"/>
  <c r="Q63" i="11"/>
  <c r="R63" i="11" s="1"/>
  <c r="R66" i="11" s="1"/>
  <c r="R67" i="11" s="1"/>
  <c r="N48" i="11"/>
  <c r="T48" i="11" s="1"/>
  <c r="Q38" i="11"/>
  <c r="Q27" i="11"/>
  <c r="S66" i="11"/>
  <c r="F29" i="2"/>
  <c r="J29" i="2" s="1"/>
  <c r="J37" i="2" s="1"/>
  <c r="F48" i="4"/>
  <c r="J48" i="4" s="1"/>
  <c r="S48" i="11"/>
  <c r="I67" i="11"/>
  <c r="N57" i="11"/>
  <c r="T57" i="11" s="1"/>
  <c r="Q34" i="11"/>
  <c r="Q52" i="11"/>
  <c r="Q57" i="11" s="1"/>
  <c r="K48" i="3"/>
  <c r="G56" i="3"/>
  <c r="S67" i="11" l="1"/>
  <c r="Q48" i="11"/>
  <c r="Q66" i="11"/>
  <c r="Q67" i="11" s="1"/>
  <c r="F37" i="2"/>
  <c r="T67" i="11"/>
  <c r="T71" i="11" s="1"/>
  <c r="N67" i="11"/>
  <c r="K56" i="3"/>
  <c r="E316" i="3"/>
</calcChain>
</file>

<file path=xl/sharedStrings.xml><?xml version="1.0" encoding="utf-8"?>
<sst xmlns="http://schemas.openxmlformats.org/spreadsheetml/2006/main" count="1153" uniqueCount="377">
  <si>
    <t>№ п/п</t>
  </si>
  <si>
    <t>Должность, группа должностей</t>
  </si>
  <si>
    <t>Приложение № 2 к Порядку</t>
  </si>
  <si>
    <t>в том числе:</t>
  </si>
  <si>
    <t>ИТОГО:</t>
  </si>
  <si>
    <t>№п/п</t>
  </si>
  <si>
    <t>Наименование расходов</t>
  </si>
  <si>
    <t>Количество работников, чел</t>
  </si>
  <si>
    <t>Количество дней</t>
  </si>
  <si>
    <t>Сумма, руб. (гр.3 х гр.4 х гр.5)</t>
  </si>
  <si>
    <t>Численность работников, получающих пособие</t>
  </si>
  <si>
    <t>Количество выплат в год на одного работника</t>
  </si>
  <si>
    <t>Итого:</t>
  </si>
  <si>
    <t>х</t>
  </si>
  <si>
    <t>Размер базы для начисления страховых взносов, руб</t>
  </si>
  <si>
    <t>Сумма взноса, руб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</si>
  <si>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</si>
  <si>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</si>
  <si>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</si>
  <si>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</si>
  <si>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</si>
  <si>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</si>
  <si>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</si>
  <si>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</si>
  <si>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</si>
  <si>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</si>
  <si>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по ставке 22,0%</t>
  </si>
  <si>
    <t>по ставке 10,0%</t>
  </si>
  <si>
    <t>обязательное социальное страхование на случай временной нетрудоспособности и в связи с метеринством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</si>
  <si>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</si>
  <si>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</t>
  </si>
  <si>
    <t>Наименование показателя</t>
  </si>
  <si>
    <t>Количество выплат в год</t>
  </si>
  <si>
    <t>Общая сумма выплат,  руб (гр.3 х гр.4)</t>
  </si>
  <si>
    <t>1</t>
  </si>
  <si>
    <t>Налоговая база, руб.</t>
  </si>
  <si>
    <t>Размер одной выплаты, руб</t>
  </si>
  <si>
    <t>Ставка налога, %</t>
  </si>
  <si>
    <t>Сумма исчисленного налога, подлежащего улате, руб. (гр.3 х гр.4/100)</t>
  </si>
  <si>
    <t>Код видов расходов_________________________________________________________________</t>
  </si>
  <si>
    <t>Количество номеров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</si>
  <si>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</si>
  <si>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</si>
  <si>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</si>
  <si>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(гр.3  х гр.4)</t>
  </si>
  <si>
    <t>Размер потребления ресурсов</t>
  </si>
  <si>
    <t>Тариф (с учетом НДС). руб</t>
  </si>
  <si>
    <t>Индексация, %</t>
  </si>
  <si>
    <t xml:space="preserve">Количество </t>
  </si>
  <si>
    <t>Ставка арендной платы</t>
  </si>
  <si>
    <t>Стоимость с учетом НДС, руб</t>
  </si>
  <si>
    <t>Объект</t>
  </si>
  <si>
    <t>Количество работ (услуг)</t>
  </si>
  <si>
    <t>Стоимость работ (услуг), руб</t>
  </si>
  <si>
    <t>Количество договоров</t>
  </si>
  <si>
    <t>Стоимость услуги, руб.</t>
  </si>
  <si>
    <t>Х</t>
  </si>
  <si>
    <t>Количество</t>
  </si>
  <si>
    <t>Средняя стоимость, руб</t>
  </si>
  <si>
    <t>Директор</t>
  </si>
  <si>
    <t>Дворник</t>
  </si>
  <si>
    <t>Инженер</t>
  </si>
  <si>
    <t>Всего</t>
  </si>
  <si>
    <t>4</t>
  </si>
  <si>
    <t>5</t>
  </si>
  <si>
    <t>6</t>
  </si>
  <si>
    <t>7</t>
  </si>
  <si>
    <t>8</t>
  </si>
  <si>
    <t>9</t>
  </si>
  <si>
    <t>10</t>
  </si>
  <si>
    <t>11</t>
  </si>
  <si>
    <t>здание</t>
  </si>
  <si>
    <t>Электроэнергия</t>
  </si>
  <si>
    <t>Вода холодная</t>
  </si>
  <si>
    <t>Стоки</t>
  </si>
  <si>
    <t>Сумма, руб. (гр.3 х гр.4)</t>
  </si>
  <si>
    <t>Тепловая энергия</t>
  </si>
  <si>
    <t>12</t>
  </si>
  <si>
    <t>Заместитель директора</t>
  </si>
  <si>
    <t>Заведующий сектором</t>
  </si>
  <si>
    <t>Методист</t>
  </si>
  <si>
    <t>Художественный руководитель</t>
  </si>
  <si>
    <t>Балетмейстер</t>
  </si>
  <si>
    <t>Аккомпаниатор</t>
  </si>
  <si>
    <t>Художник по свету</t>
  </si>
  <si>
    <t>Звукорежиссер</t>
  </si>
  <si>
    <t>Главный инженер</t>
  </si>
  <si>
    <t>Контролер билетов</t>
  </si>
  <si>
    <t>Машинист сцены</t>
  </si>
  <si>
    <t>Сторож</t>
  </si>
  <si>
    <t>Уборщик служебных помещений</t>
  </si>
  <si>
    <t>Гардеробщик</t>
  </si>
  <si>
    <t>Средний размер выплаты на одного работника в месяц, руб</t>
  </si>
  <si>
    <t>Количество месяцев</t>
  </si>
  <si>
    <t>Администратор</t>
  </si>
  <si>
    <t>Код видов расходов: _________________________________</t>
  </si>
  <si>
    <t>Проведение праздничных мероприятий</t>
  </si>
  <si>
    <t>Доплата за работу в ночное время, руб.</t>
  </si>
  <si>
    <t>Среднемесячный размер оплаты труда, руб</t>
  </si>
  <si>
    <t>Страховые взносы</t>
  </si>
  <si>
    <t>Выплаты стимулирующего характера (директор)</t>
  </si>
  <si>
    <t>Договоры возмездного оказания услуг (кружки)</t>
  </si>
  <si>
    <t>Код видов расходов 112</t>
  </si>
  <si>
    <t>Код видов расходов 119</t>
  </si>
  <si>
    <t>Код видов расходов: 244</t>
  </si>
  <si>
    <t>Код видов расходов: 119</t>
  </si>
  <si>
    <t>Код видов расходов: 851</t>
  </si>
  <si>
    <t>Код видов расходов: 852</t>
  </si>
  <si>
    <t>Код видов расходов: 853</t>
  </si>
  <si>
    <t>Услуги по дератизации и дезинфекции</t>
  </si>
  <si>
    <t>Охрана КТС</t>
  </si>
  <si>
    <t>Транспортные услуги</t>
  </si>
  <si>
    <t>Хозтовары</t>
  </si>
  <si>
    <t>Питьевая вода и стаканы</t>
  </si>
  <si>
    <r>
      <t xml:space="preserve">Код видов расходов: </t>
    </r>
    <r>
      <rPr>
        <u/>
        <sz val="10"/>
        <color theme="1"/>
        <rFont val="Times New Roman"/>
        <family val="1"/>
        <charset val="204"/>
      </rPr>
      <t>111</t>
    </r>
  </si>
  <si>
    <t>Численность, единиц</t>
  </si>
  <si>
    <t>Разовые выплаты</t>
  </si>
  <si>
    <t>СКРЫТЬ!</t>
  </si>
  <si>
    <t>Справочно</t>
  </si>
  <si>
    <t>Среднемесячный размер оплаты труда на одного работника,руб.</t>
  </si>
  <si>
    <t xml:space="preserve">Штатная числен-ность </t>
  </si>
  <si>
    <t>Повышение оклада, ставки заработной платы за звание</t>
  </si>
  <si>
    <t>Фонд оплаты труда в месяц,руб.</t>
  </si>
  <si>
    <t>Фонд оплаты труда в отчетном году, руб.</t>
  </si>
  <si>
    <t>Фонд оплаты труда на текущий год, руб.</t>
  </si>
  <si>
    <t>14а</t>
  </si>
  <si>
    <t>Сумма выплат в отчетном году,руб.</t>
  </si>
  <si>
    <t>Сумма выплат на текущий год,руб.</t>
  </si>
  <si>
    <t>Сумма налогов,сборов и иных платежей в отчетном году,руб.</t>
  </si>
  <si>
    <t>Сумма налогов,сборов и иных платежей в текущем году,руб.</t>
  </si>
  <si>
    <t>Общая сумма выплат в отчетном году,руб.</t>
  </si>
  <si>
    <t>Общая сумма выплат в текущемгоду,руб.</t>
  </si>
  <si>
    <t>Сумма в отчетном году,руб.</t>
  </si>
  <si>
    <t>Сумма на текущий год,руб.</t>
  </si>
  <si>
    <t>Тариф(с учетом НДС),руб.</t>
  </si>
  <si>
    <t>Стоимость аренды имущества в отчетном году,руб.</t>
  </si>
  <si>
    <t>Стоимость аренды имущества на текущий год,руб.</t>
  </si>
  <si>
    <t>Стоимость работ(услуг) в отчетном году,руб.</t>
  </si>
  <si>
    <t>Стоимость работ(услуг) на текущий год,руб.</t>
  </si>
  <si>
    <t>Стоимость прочих услуг в отчетном году,руб.</t>
  </si>
  <si>
    <t>Стоимость прочих услуг на текущий год,руб.</t>
  </si>
  <si>
    <t>Стоимость прочих расходов на текущий год,руб.</t>
  </si>
  <si>
    <t>Стоимость  расходов в отчетном году,руб.</t>
  </si>
  <si>
    <r>
      <t xml:space="preserve">Код видов расходов: </t>
    </r>
    <r>
      <rPr>
        <u/>
        <sz val="10"/>
        <color theme="1"/>
        <rFont val="Times New Roman"/>
        <family val="1"/>
        <charset val="204"/>
      </rPr>
      <t>851</t>
    </r>
  </si>
  <si>
    <r>
      <t>Код видов расходов :</t>
    </r>
    <r>
      <rPr>
        <u/>
        <sz val="10"/>
        <color theme="1"/>
        <rFont val="Times New Roman"/>
        <family val="1"/>
        <charset val="204"/>
      </rPr>
      <t>244</t>
    </r>
  </si>
  <si>
    <r>
      <t xml:space="preserve">Код видов расходов: </t>
    </r>
    <r>
      <rPr>
        <u/>
        <sz val="10"/>
        <color theme="1"/>
        <rFont val="Times New Roman"/>
        <family val="1"/>
        <charset val="204"/>
      </rPr>
      <t>244</t>
    </r>
  </si>
  <si>
    <t>Мате-риальная помощь</t>
  </si>
  <si>
    <t>Повыше-ние оклада, тарифной ставки за работу в сельской местности, 25%</t>
  </si>
  <si>
    <t>Надбавка за продолжи-тельность работы в учрежде-ниях культуры 10-30%</t>
  </si>
  <si>
    <t>Доплата работникам учреждений, предоставляю-щих услуги и выполняющих работы в сфере культуры 30%, в сельской местности 42%</t>
  </si>
  <si>
    <t>Сумма,руб. (гр7*гр8)</t>
  </si>
  <si>
    <t>Сумма, руб. (гр10*гр11)</t>
  </si>
  <si>
    <t>Тариф (с учетом НДС), руб.</t>
  </si>
  <si>
    <t>Коли-чество работни-ков, чел.</t>
  </si>
  <si>
    <t>Средний размер выплаты на одного работника в день, руб.</t>
  </si>
  <si>
    <t>Количест-во платежей в год</t>
  </si>
  <si>
    <t>Размер выплаты (пособия) в месяц, руб.</t>
  </si>
  <si>
    <t>Проведение концертов</t>
  </si>
  <si>
    <t>Прочие</t>
  </si>
  <si>
    <t>Итого</t>
  </si>
  <si>
    <t>Вывоз ТКО</t>
  </si>
  <si>
    <t>Прочие расходы</t>
  </si>
  <si>
    <t>13</t>
  </si>
  <si>
    <t>Командировочные расходы</t>
  </si>
  <si>
    <t>Строительные материалы</t>
  </si>
  <si>
    <t>Обслуживание контрольно-кассовых аппаратов</t>
  </si>
  <si>
    <t>Проведение расчетов по операциям, совершенным с использованием банковских карт (эквайринг)</t>
  </si>
  <si>
    <t>ККТ</t>
  </si>
  <si>
    <t>Почтовые услуги</t>
  </si>
  <si>
    <t>ТО ИТП</t>
  </si>
  <si>
    <t>ИТП</t>
  </si>
  <si>
    <t>Налог на имущество</t>
  </si>
  <si>
    <t>Обоснования (расчеты) плановых показателей по выплатам, использованные при формировании планв финансово-хозяйственной деятельности муниципального учреждения</t>
  </si>
  <si>
    <t>1. Обоснования (расчеты) выплат персоналу (строка 210)</t>
  </si>
  <si>
    <t>Основной персонал</t>
  </si>
  <si>
    <t>Административно-управленческий персонал</t>
  </si>
  <si>
    <t>Обслуживающий персонал</t>
  </si>
  <si>
    <t>Вспомогательный персонал</t>
  </si>
  <si>
    <r>
      <t xml:space="preserve">Источник финансового обеспеченния </t>
    </r>
    <r>
      <rPr>
        <u/>
        <sz val="10"/>
        <color theme="1"/>
        <rFont val="Times New Roman"/>
        <family val="1"/>
        <charset val="204"/>
      </rPr>
      <t>субсидия на выполнение муниципального задания</t>
    </r>
  </si>
  <si>
    <t>1.2. Обоснования (расчеты) выплат персоналу при направлении в служебные командировки</t>
  </si>
  <si>
    <t>1.3. Обоснования (расчеты) выплат персоналу по уходу за ребенком</t>
  </si>
  <si>
    <t>1.4. Обоснования (расчеты)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</si>
  <si>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 внебюджетного фонда</t>
  </si>
  <si>
    <t>Страховые взносы в Пенсионный фонд Российской Федерации, всего</t>
  </si>
  <si>
    <t>Страховые взносы в Фонд социального страхования Российской Федерации, всего</t>
  </si>
  <si>
    <t>с применение пониженных тарифов взносов в Пенсионный фонд Российской Федерации для отдельных категорий плательщиков</t>
  </si>
  <si>
    <t>с применение ставки взносов в Фонд социального страхования Российской Федерации по ставке 0.0%</t>
  </si>
  <si>
    <t>Страховые взносы в Федеральный фонд обязательного медицинского страхования, всего (по ставке 5,1%)</t>
  </si>
  <si>
    <t>2. Обоснования (расчеты) расходов на социальные и иные выплаты населению</t>
  </si>
  <si>
    <t>3. Обоснования (расчеты) расходов на уплату налогов, сборов и иных платежей</t>
  </si>
  <si>
    <t>4. Обоснования (расчеты) расходов на безвозмездные перечисления организациям</t>
  </si>
  <si>
    <t>Сумма выплат в текущемгоду,руб.</t>
  </si>
  <si>
    <t>5. Обоснования (расчеты) прочих расходов (кроме расходов на закупку товаров, работ, услуг)</t>
  </si>
  <si>
    <t>Сумма прочих расходов в отчетном году,руб.</t>
  </si>
  <si>
    <t>Сумма прочих расходов на текущий год,руб.</t>
  </si>
  <si>
    <t>6. Обоснования (расчеты) расходов на закупку товаров, работ, услуг</t>
  </si>
  <si>
    <t>6.1. Обоснования (расчеты) расходов на оплату услуг связи</t>
  </si>
  <si>
    <t>Сумма на услуги связи в отчетном году,руб.</t>
  </si>
  <si>
    <t>Сумма на услуги связи на текущий год,руб.</t>
  </si>
  <si>
    <t>6.2. Обоснования (расчеты)  расходов на оплату транспортных услуг</t>
  </si>
  <si>
    <t>В отчетном году</t>
  </si>
  <si>
    <t>В текущием году</t>
  </si>
  <si>
    <t>6.4. Обоснования (расчеты)  расходов на оплату аренды имущества</t>
  </si>
  <si>
    <t>6.5. Обоснования (расчеты)  расходов на оплату работ, услуг по содержанию имущества</t>
  </si>
  <si>
    <t>6.6. Обоснования (расчеты)  расходов на оплату прочих работ, услуг</t>
  </si>
  <si>
    <t>6.8. Обоснования (расчеты)  расходов на приобретение основных средств, материальных запасов</t>
  </si>
  <si>
    <t>6.7. Обоснования (расчеты)  расходов на приобретение основных средств, материальных запасов</t>
  </si>
  <si>
    <t>1.Обоснования (расчеты) выплат персоналу (строка 210)</t>
  </si>
  <si>
    <t>1.1. Обоснования (расчеты) расходов на оплату труда</t>
  </si>
  <si>
    <t>Иные платежи</t>
  </si>
  <si>
    <t>6.7. Обоснования (расчеты) прочих расходов (кроме расходов на уплату налогов)</t>
  </si>
  <si>
    <t>Код видов расходов: 831</t>
  </si>
  <si>
    <t>Обработка фискальных данных от ККТ</t>
  </si>
  <si>
    <t>Системный администратор</t>
  </si>
  <si>
    <t>Специалист по охране труда</t>
  </si>
  <si>
    <t>Рабочий по комплексному обслуживанию и ремонту зданий</t>
  </si>
  <si>
    <t>Документовед</t>
  </si>
  <si>
    <t>Ведущий специалист по закупкам</t>
  </si>
  <si>
    <t>Специалист по закупкам</t>
  </si>
  <si>
    <t>Руководитель студии</t>
  </si>
  <si>
    <t>Руководитель коллектива самодеятельного искусства</t>
  </si>
  <si>
    <t>Режиссер по видеомонтажу</t>
  </si>
  <si>
    <t>Заведующий костюмерной мастерской</t>
  </si>
  <si>
    <t>Художник - график</t>
  </si>
  <si>
    <t>Культорганизатор</t>
  </si>
  <si>
    <t>Слесарь-сантехник</t>
  </si>
  <si>
    <t>Надбавка 50% за звание коллектива</t>
  </si>
  <si>
    <t>Обучение сотрудников</t>
  </si>
  <si>
    <t>Канцелярские товары</t>
  </si>
  <si>
    <t>Услуги по бронированию, оформлению и распространению электронных билетов</t>
  </si>
  <si>
    <t>Правовая система Гарант</t>
  </si>
  <si>
    <t>15</t>
  </si>
  <si>
    <t>16</t>
  </si>
  <si>
    <t>17</t>
  </si>
  <si>
    <t>Приобретение мебели</t>
  </si>
  <si>
    <t>Декорации</t>
  </si>
  <si>
    <t>Приобретение сценических костюмов и обуви</t>
  </si>
  <si>
    <t>Средства индивидуальной защиты для пожарной безопасности</t>
  </si>
  <si>
    <t>Расходные материалы для оборудования</t>
  </si>
  <si>
    <t>Информационные таблички</t>
  </si>
  <si>
    <t>Спец.одежда</t>
  </si>
  <si>
    <t>Плата за негативное воздействие на ЦСВ</t>
  </si>
  <si>
    <t>Код видов расходов: 247</t>
  </si>
  <si>
    <t>6.8. Обоснования (расчеты) расходов на оплату услуг по поставке и транспортировке электроэнергии, газа, теплоснабжения</t>
  </si>
  <si>
    <t>6.3. Обоснования (расчеты) расходов на оплату иных коммунальных услуг</t>
  </si>
  <si>
    <t>6.9. Обоснования (расчеты) расходов на оплату услуг по поставке и транспортировке электроэнергии, газа, теплоснабжения</t>
  </si>
  <si>
    <t>Количество работни-ков, чел.</t>
  </si>
  <si>
    <t>Количество платежей в год</t>
  </si>
  <si>
    <t>Тариф (с учетом НДС), руб</t>
  </si>
  <si>
    <t>ТО комплекса технических средств охраны</t>
  </si>
  <si>
    <t>Иные вып-латы</t>
  </si>
  <si>
    <t>Размер базы для начисления страховых взносов, руб.</t>
  </si>
  <si>
    <t>Сумма взноса, руб.</t>
  </si>
  <si>
    <t>Сумма выплат в отчетном году, руб.</t>
  </si>
  <si>
    <t>Сумма выплат на текущий год, руб.</t>
  </si>
  <si>
    <t>Стоимость  расходов в отчетном году, руб.</t>
  </si>
  <si>
    <t>Стоимость прочих расходов на текущий год, руб.</t>
  </si>
  <si>
    <t>Размер одной выплаты, руб.</t>
  </si>
  <si>
    <t>Средний размер выплаты на одного работника, руб.</t>
  </si>
  <si>
    <t>Стоимость прочих услуг в отчетном году, руб.</t>
  </si>
  <si>
    <t>Стоимость прочих услуг на текущий год, руб.</t>
  </si>
  <si>
    <t>Стоимость работ (услуг) в отчетном году, руб.</t>
  </si>
  <si>
    <t>Стоимость работ (услуг) на текущий год, руб.</t>
  </si>
  <si>
    <t>Стоимость аренды имущества на текущий год, руб.</t>
  </si>
  <si>
    <t>Стоимость аренды имущества в отчетном году, руб.</t>
  </si>
  <si>
    <t>Сумма на услуги связи в отчетном году, руб.</t>
  </si>
  <si>
    <t>Сумма на услуги связи на текущий год, руб.</t>
  </si>
  <si>
    <t>Общая сумма прочих расходов в отчетном году, руб.</t>
  </si>
  <si>
    <t>Общая сумма прочих расходов на текущий год, руб.</t>
  </si>
  <si>
    <t>Сумма налогов,сборов и иных платежей в отчетном году, руб.</t>
  </si>
  <si>
    <t>Сумма налогов, сборов и иных платежей в отчетном году, руб.</t>
  </si>
  <si>
    <t>Сумма налогов, сборов и иных платежей в текущем году, руб.</t>
  </si>
  <si>
    <t>Сумма налогов,сборов и иных платежей в текущем году, руб.</t>
  </si>
  <si>
    <t>Стоимость прочих расходов в отчетном году, руб.</t>
  </si>
  <si>
    <t>Стоимость работ(услуг) в отчетном году, руб.</t>
  </si>
  <si>
    <t>Стоимость работ(услуг) на текущий год, руб.</t>
  </si>
  <si>
    <t>Сумма в отчетном году, руб.</t>
  </si>
  <si>
    <t>Сумма прочих расходов в отчетном году, руб.</t>
  </si>
  <si>
    <t>Сумма прочих расходов на текущий год, руб.</t>
  </si>
  <si>
    <t>Сумма выплат в текущем году, руб.</t>
  </si>
  <si>
    <t>Специалист по кадрам</t>
  </si>
  <si>
    <t>По должност-ному окладу</t>
  </si>
  <si>
    <t>Справоч-но: средне-месячная числен-ность (на послед-нюю отчетную дату)</t>
  </si>
  <si>
    <t>Редактор</t>
  </si>
  <si>
    <t>Электромонтер по ремонту и обслуживанию электрооборудования</t>
  </si>
  <si>
    <t>Код видов расходов: 112</t>
  </si>
  <si>
    <t>1.5. Обоснования (расчеты)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</si>
  <si>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1.4. Обоснования (расчеты) расходов на несоциальные выплаты</t>
  </si>
  <si>
    <t>Код видов расходов</t>
  </si>
  <si>
    <t>Текущий ремонт</t>
  </si>
  <si>
    <t>Услуги по диагностике и ремонту светового и звукового оборудования</t>
  </si>
  <si>
    <t>Материалы для проведения субботника</t>
  </si>
  <si>
    <t>ТО системы видеонаблюдения</t>
  </si>
  <si>
    <t>Организация и проведение культурно-массовых мероприятий</t>
  </si>
  <si>
    <t>Услуги нотариуса</t>
  </si>
  <si>
    <t>Информационно-технологическое сопровождение 1 С</t>
  </si>
  <si>
    <t>Хозяйственный инвентарь</t>
  </si>
  <si>
    <t>14</t>
  </si>
  <si>
    <t xml:space="preserve">Прочие </t>
  </si>
  <si>
    <t>Картриджи и расходные материалы для плоттера</t>
  </si>
  <si>
    <t>Начальник отдела</t>
  </si>
  <si>
    <t>Начальник  отдела</t>
  </si>
  <si>
    <t xml:space="preserve">Методист </t>
  </si>
  <si>
    <t>Заведующий  сектором</t>
  </si>
  <si>
    <t>Старший администратор</t>
  </si>
  <si>
    <t>Юрисконсульт</t>
  </si>
  <si>
    <t>Режиссер</t>
  </si>
  <si>
    <t>Заместитель начальника отдела</t>
  </si>
  <si>
    <t>18</t>
  </si>
  <si>
    <t>19</t>
  </si>
  <si>
    <t>Продление доменного имени</t>
  </si>
  <si>
    <t>Услуги мобильной связи</t>
  </si>
  <si>
    <t>Оплата труда</t>
  </si>
  <si>
    <t>1.1. Обоснования (расчеты) расходов на оплату труда на 2023 г.</t>
  </si>
  <si>
    <t>Планируемый фонд оплаты труда на 2023 год, руб.</t>
  </si>
  <si>
    <t>Приобретение инструментов</t>
  </si>
  <si>
    <t>Полиграфическая продукция</t>
  </si>
  <si>
    <t>Приобретение ламп</t>
  </si>
  <si>
    <t>Аптечка</t>
  </si>
  <si>
    <t>Приобретение ростовых кукол</t>
  </si>
  <si>
    <t>Приобретение  оборудования</t>
  </si>
  <si>
    <t>Приобретение жестких дисков</t>
  </si>
  <si>
    <t>Мытье окон</t>
  </si>
  <si>
    <t>Санитарная обработка кулеров</t>
  </si>
  <si>
    <t>Химчистка одежды</t>
  </si>
  <si>
    <t>Вывоз и утилизация люминисцентных ламп</t>
  </si>
  <si>
    <t>Замена дверных блоков</t>
  </si>
  <si>
    <t>Декорационное оформление</t>
  </si>
  <si>
    <t>Курьерские услуги</t>
  </si>
  <si>
    <t>Разработка проектно-сметной документации на установку СВН</t>
  </si>
  <si>
    <t>Разработка паспорта энергоэффективности</t>
  </si>
  <si>
    <t>Разработка планов эвакуации</t>
  </si>
  <si>
    <t xml:space="preserve">Тепловая энергия </t>
  </si>
  <si>
    <t xml:space="preserve">Электроэнергия </t>
  </si>
  <si>
    <t>Услуги связи</t>
  </si>
  <si>
    <t>ТО инженерных сетей</t>
  </si>
  <si>
    <t>ТО системы автоматической пожарной сигнализации</t>
  </si>
  <si>
    <t>Проведение испытаний внутреннего противопожпрного водопровода</t>
  </si>
  <si>
    <t>ТО кинопроектора</t>
  </si>
  <si>
    <t>кинопроектор</t>
  </si>
  <si>
    <t>20</t>
  </si>
  <si>
    <t>21</t>
  </si>
  <si>
    <t>22</t>
  </si>
  <si>
    <t>Медицинский осмотр</t>
  </si>
  <si>
    <t>Замеры производственных факторов</t>
  </si>
  <si>
    <t>Картрижи для принтеров</t>
  </si>
  <si>
    <t>Брендированная продукция</t>
  </si>
  <si>
    <t>23</t>
  </si>
  <si>
    <t xml:space="preserve">Услуги связи </t>
  </si>
  <si>
    <t xml:space="preserve">Поставка бытовой техники </t>
  </si>
  <si>
    <t>Покупка ноутбуков</t>
  </si>
  <si>
    <t xml:space="preserve">Приобретение подарков на мероприятия </t>
  </si>
  <si>
    <t>349</t>
  </si>
  <si>
    <t>344</t>
  </si>
  <si>
    <t>Покупка цветочной продукции на праздничное мероприятие "День Защитника Отечества" для украшения интерьера</t>
  </si>
  <si>
    <t>Услуги скорой медицинской помощи на праздничном мероприятии "Широкая Маслиница"</t>
  </si>
  <si>
    <t>341</t>
  </si>
  <si>
    <t>345</t>
  </si>
  <si>
    <t>Доплата до минималь-ной заработной платы 19000 руб.</t>
  </si>
  <si>
    <t>Прочие услуги</t>
  </si>
  <si>
    <t>Поставка урн</t>
  </si>
  <si>
    <t xml:space="preserve">Поставка контейнеров </t>
  </si>
  <si>
    <t>Поставка фотоаппарата</t>
  </si>
  <si>
    <t>Покупка цифрового пианино</t>
  </si>
  <si>
    <t>Покупка програмного обеспечения. Антивирусная программа на компьютерную технику</t>
  </si>
  <si>
    <t xml:space="preserve">Заправка картреджей, ТО и ремонт оргтехники </t>
  </si>
  <si>
    <t>Аренда сценического оборудования</t>
  </si>
  <si>
    <t>6.7. Обоснования (расчеты)  расходов на оплату услуг, работ для целей капитальных вложений</t>
  </si>
  <si>
    <t>Электромантажные работы в малом зале. Увеличение мощностей в связи с модернизацией светового оборудования</t>
  </si>
  <si>
    <t>Замена грязезащитных ковриков</t>
  </si>
  <si>
    <t>Поставка аккумуляторных батарей</t>
  </si>
  <si>
    <t>346</t>
  </si>
  <si>
    <t xml:space="preserve">Приобретение составных частей для оборудования </t>
  </si>
  <si>
    <t xml:space="preserve">Рамки для картин </t>
  </si>
  <si>
    <t>Ремонт оборудования</t>
  </si>
  <si>
    <t>оргтехника</t>
  </si>
  <si>
    <t>По выплатам стимулирую-щего характера, от ФОТ 33,10%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</si>
</sst>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0000000%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Calibri"/>
      <family val="2"/>
      <scheme val="minor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1" fillId="0" borderId="0"/>
  </cellStyleXfs>
  <cellXfs count="540">
    <xf numFmtId="0" fontId="0" fillId="0" borderId="0" xfId="0"/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/>
    <xf numFmtId="4" fontId="21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9" fontId="9" fillId="0" borderId="0" xfId="0" applyNumberFormat="1" applyFont="1"/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9" fontId="5" fillId="0" borderId="0" xfId="0" applyNumberFormat="1" applyFont="1"/>
    <xf numFmtId="49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/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applyFont="1"/>
    <xf numFmtId="0" fontId="15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1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0" fillId="0" borderId="0" xfId="0" applyNumberFormat="1"/>
    <xf numFmtId="49" fontId="29" fillId="0" borderId="0" xfId="0" applyNumberFormat="1" applyFont="1"/>
    <xf numFmtId="4" fontId="29" fillId="0" borderId="0" xfId="0" applyNumberFormat="1" applyFont="1"/>
    <xf numFmtId="0" fontId="29" fillId="0" borderId="0" xfId="0" applyFont="1"/>
    <xf numFmtId="49" fontId="3" fillId="0" borderId="0" xfId="0" applyNumberFormat="1" applyFont="1"/>
    <xf numFmtId="4" fontId="3" fillId="0" borderId="0" xfId="0" applyNumberFormat="1" applyFont="1"/>
    <xf numFmtId="0" fontId="3" fillId="0" borderId="0" xfId="0" applyFont="1"/>
    <xf numFmtId="49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65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33" fillId="0" borderId="0" xfId="1" applyNumberFormat="1" applyFont="1"/>
    <xf numFmtId="0" fontId="33" fillId="0" borderId="0" xfId="1" applyFont="1"/>
    <xf numFmtId="4" fontId="35" fillId="0" borderId="0" xfId="1" applyNumberFormat="1" applyFont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4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/>
    <xf numFmtId="0" fontId="20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 wrapText="1"/>
    </xf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4" fontId="8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3" fillId="2" borderId="0" xfId="0" applyNumberFormat="1" applyFont="1" applyFill="1"/>
    <xf numFmtId="4" fontId="3" fillId="2" borderId="0" xfId="0" applyNumberFormat="1" applyFont="1" applyFill="1"/>
    <xf numFmtId="0" fontId="3" fillId="2" borderId="0" xfId="0" applyFont="1" applyFill="1"/>
    <xf numFmtId="4" fontId="0" fillId="2" borderId="0" xfId="0" applyNumberFormat="1" applyFill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5" fillId="0" borderId="5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4" fillId="0" borderId="3" xfId="0" applyNumberFormat="1" applyFont="1" applyBorder="1" applyAlignment="1">
      <alignment horizontal="center" vertical="center"/>
    </xf>
    <xf numFmtId="4" fontId="24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16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9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4" fontId="24" fillId="0" borderId="3" xfId="0" applyNumberFormat="1" applyFont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0" fontId="5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/>
    <xf numFmtId="49" fontId="14" fillId="3" borderId="0" xfId="0" applyNumberFormat="1" applyFont="1" applyFill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right" vertical="center"/>
    </xf>
    <xf numFmtId="0" fontId="14" fillId="3" borderId="3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right" vertical="center"/>
    </xf>
    <xf numFmtId="4" fontId="14" fillId="3" borderId="4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6" fillId="3" borderId="2" xfId="0" applyNumberFormat="1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24" fillId="3" borderId="1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left" vertical="center" wrapText="1"/>
    </xf>
    <xf numFmtId="4" fontId="5" fillId="3" borderId="0" xfId="0" applyNumberFormat="1" applyFont="1" applyFill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4" fontId="5" fillId="3" borderId="1" xfId="0" applyNumberFormat="1" applyFont="1" applyFill="1" applyBorder="1"/>
    <xf numFmtId="4" fontId="7" fillId="3" borderId="3" xfId="0" applyNumberFormat="1" applyFont="1" applyFill="1" applyBorder="1" applyAlignment="1">
      <alignment horizontal="center" vertical="center"/>
    </xf>
    <xf numFmtId="4" fontId="24" fillId="3" borderId="3" xfId="0" applyNumberFormat="1" applyFont="1" applyFill="1" applyBorder="1" applyAlignment="1">
      <alignment horizontal="center" vertical="center"/>
    </xf>
    <xf numFmtId="4" fontId="24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right" vertical="center"/>
    </xf>
    <xf numFmtId="4" fontId="14" fillId="3" borderId="0" xfId="0" applyNumberFormat="1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4" fontId="10" fillId="3" borderId="0" xfId="0" applyNumberFormat="1" applyFont="1" applyFill="1" applyAlignment="1">
      <alignment horizontal="center" vertical="center"/>
    </xf>
    <xf numFmtId="49" fontId="22" fillId="3" borderId="5" xfId="0" applyNumberFormat="1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0" fillId="3" borderId="0" xfId="0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18" fillId="3" borderId="2" xfId="0" applyNumberFormat="1" applyFont="1" applyFill="1" applyBorder="1" applyAlignment="1">
      <alignment horizontal="center"/>
    </xf>
    <xf numFmtId="4" fontId="7" fillId="3" borderId="3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4" fontId="18" fillId="3" borderId="2" xfId="0" applyNumberFormat="1" applyFont="1" applyFill="1" applyBorder="1" applyAlignment="1">
      <alignment horizontal="center" vertical="center"/>
    </xf>
    <xf numFmtId="49" fontId="32" fillId="3" borderId="0" xfId="1" applyNumberFormat="1" applyFont="1" applyFill="1" applyAlignment="1">
      <alignment horizontal="center" vertical="center"/>
    </xf>
    <xf numFmtId="4" fontId="33" fillId="3" borderId="0" xfId="1" applyNumberFormat="1" applyFont="1" applyFill="1"/>
    <xf numFmtId="49" fontId="32" fillId="3" borderId="0" xfId="1" applyNumberFormat="1" applyFont="1" applyFill="1" applyAlignment="1">
      <alignment horizontal="center" vertical="center"/>
    </xf>
    <xf numFmtId="0" fontId="33" fillId="3" borderId="16" xfId="1" applyFont="1" applyFill="1" applyBorder="1" applyAlignment="1">
      <alignment horizontal="center" vertical="center" wrapText="1"/>
    </xf>
    <xf numFmtId="0" fontId="34" fillId="3" borderId="16" xfId="1" applyFont="1" applyFill="1" applyBorder="1" applyAlignment="1">
      <alignment horizontal="center" vertical="center" wrapText="1"/>
    </xf>
    <xf numFmtId="49" fontId="35" fillId="3" borderId="16" xfId="1" applyNumberFormat="1" applyFont="1" applyFill="1" applyBorder="1" applyAlignment="1">
      <alignment horizontal="center" vertical="center"/>
    </xf>
    <xf numFmtId="0" fontId="35" fillId="3" borderId="16" xfId="1" applyFont="1" applyFill="1" applyBorder="1" applyAlignment="1">
      <alignment horizontal="center" vertical="center"/>
    </xf>
    <xf numFmtId="0" fontId="35" fillId="3" borderId="16" xfId="1" applyFont="1" applyFill="1" applyBorder="1" applyAlignment="1">
      <alignment horizontal="center" vertical="center" wrapText="1"/>
    </xf>
    <xf numFmtId="0" fontId="35" fillId="3" borderId="16" xfId="1" applyFont="1" applyFill="1" applyBorder="1" applyAlignment="1">
      <alignment horizontal="center" vertical="center"/>
    </xf>
    <xf numFmtId="4" fontId="35" fillId="3" borderId="0" xfId="1" applyNumberFormat="1" applyFont="1" applyFill="1" applyAlignment="1">
      <alignment horizontal="center" vertical="center"/>
    </xf>
    <xf numFmtId="49" fontId="33" fillId="3" borderId="16" xfId="1" applyNumberFormat="1" applyFont="1" applyFill="1" applyBorder="1" applyAlignment="1">
      <alignment horizontal="center" vertical="center"/>
    </xf>
    <xf numFmtId="0" fontId="36" fillId="3" borderId="16" xfId="1" applyFont="1" applyFill="1" applyBorder="1" applyAlignment="1">
      <alignment horizontal="left" vertical="center" wrapText="1"/>
    </xf>
    <xf numFmtId="2" fontId="33" fillId="3" borderId="17" xfId="1" applyNumberFormat="1" applyFont="1" applyFill="1" applyBorder="1" applyAlignment="1">
      <alignment horizontal="center" vertical="center" wrapText="1"/>
    </xf>
    <xf numFmtId="2" fontId="33" fillId="3" borderId="18" xfId="1" applyNumberFormat="1" applyFont="1" applyFill="1" applyBorder="1" applyAlignment="1">
      <alignment horizontal="center" vertical="center" wrapText="1"/>
    </xf>
    <xf numFmtId="4" fontId="33" fillId="3" borderId="17" xfId="1" applyNumberFormat="1" applyFont="1" applyFill="1" applyBorder="1" applyAlignment="1">
      <alignment horizontal="center" vertical="center"/>
    </xf>
    <xf numFmtId="4" fontId="33" fillId="3" borderId="18" xfId="1" applyNumberFormat="1" applyFont="1" applyFill="1" applyBorder="1" applyAlignment="1">
      <alignment horizontal="center" vertical="center"/>
    </xf>
    <xf numFmtId="4" fontId="33" fillId="3" borderId="19" xfId="1" applyNumberFormat="1" applyFont="1" applyFill="1" applyBorder="1" applyAlignment="1">
      <alignment horizontal="center" vertical="center"/>
    </xf>
    <xf numFmtId="4" fontId="33" fillId="3" borderId="16" xfId="1" applyNumberFormat="1" applyFont="1" applyFill="1" applyBorder="1" applyAlignment="1">
      <alignment horizontal="center" vertical="center"/>
    </xf>
    <xf numFmtId="49" fontId="33" fillId="3" borderId="16" xfId="1" applyNumberFormat="1" applyFont="1" applyFill="1" applyBorder="1" applyAlignment="1">
      <alignment horizontal="right" vertical="center"/>
    </xf>
    <xf numFmtId="4" fontId="33" fillId="3" borderId="16" xfId="1" applyNumberFormat="1" applyFont="1" applyFill="1" applyBorder="1" applyAlignment="1">
      <alignment horizontal="center" vertical="center" wrapText="1"/>
    </xf>
    <xf numFmtId="4" fontId="32" fillId="3" borderId="16" xfId="1" applyNumberFormat="1" applyFont="1" applyFill="1" applyBorder="1" applyAlignment="1">
      <alignment horizontal="center" vertical="center"/>
    </xf>
    <xf numFmtId="4" fontId="32" fillId="3" borderId="16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/>
    </xf>
    <xf numFmtId="4" fontId="14" fillId="3" borderId="4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/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W71"/>
  <sheetViews>
    <sheetView view="pageBreakPreview" zoomScale="85" zoomScaleNormal="85" zoomScaleSheetLayoutView="85" workbookViewId="0">
      <selection activeCell="P71" sqref="O71:P71"/>
    </sheetView>
  </sheetViews>
  <sheetFormatPr defaultColWidth="9.140625" defaultRowHeight="15" x14ac:dyDescent="0.25"/>
  <cols>
    <col min="1" max="1" width="4.42578125" customWidth="1"/>
    <col min="2" max="2" width="26.5703125" customWidth="1"/>
    <col min="3" max="3" width="8.42578125" customWidth="1"/>
    <col min="4" max="4" width="8.7109375" customWidth="1"/>
    <col min="5" max="5" width="13.5703125" customWidth="1"/>
    <col min="6" max="6" width="12" customWidth="1"/>
    <col min="7" max="7" width="11.140625" customWidth="1"/>
    <col min="8" max="8" width="10.140625" customWidth="1"/>
    <col min="9" max="9" width="10.85546875" customWidth="1"/>
    <col min="10" max="10" width="10.140625" customWidth="1"/>
    <col min="11" max="11" width="11.42578125" customWidth="1"/>
    <col min="12" max="12" width="13.140625" customWidth="1"/>
    <col min="13" max="13" width="11.140625" customWidth="1"/>
    <col min="14" max="14" width="12.85546875" customWidth="1"/>
    <col min="15" max="15" width="8.5703125" customWidth="1"/>
    <col min="16" max="16" width="6.28515625" customWidth="1"/>
    <col min="17" max="17" width="11.5703125" customWidth="1"/>
    <col min="18" max="18" width="11.7109375" hidden="1" customWidth="1"/>
    <col min="19" max="19" width="13.5703125" hidden="1" customWidth="1"/>
    <col min="20" max="20" width="12.5703125" customWidth="1"/>
    <col min="21" max="21" width="13.5703125" customWidth="1"/>
    <col min="22" max="22" width="13.7109375" customWidth="1"/>
    <col min="23" max="23" width="8.140625" customWidth="1"/>
    <col min="24" max="24" width="9.28515625" customWidth="1"/>
    <col min="25" max="25" width="11.7109375" customWidth="1"/>
    <col min="26" max="26" width="10" bestFit="1" customWidth="1"/>
  </cols>
  <sheetData>
    <row r="1" spans="1:23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0" t="s">
        <v>2</v>
      </c>
      <c r="V1" s="171"/>
      <c r="W1" s="3"/>
    </row>
    <row r="2" spans="1:23" ht="17.25" customHeight="1" x14ac:dyDescent="0.25">
      <c r="A2" s="172" t="s">
        <v>172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5"/>
    </row>
    <row r="3" spans="1:23" ht="14.45" customHeight="1" x14ac:dyDescent="0.25">
      <c r="A3" s="174" t="s">
        <v>173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4"/>
    </row>
    <row r="4" spans="1:23" x14ac:dyDescent="0.25">
      <c r="A4" s="175" t="s">
        <v>114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7"/>
      <c r="R4" s="7"/>
      <c r="S4" s="7"/>
      <c r="T4" s="7"/>
      <c r="U4" s="7"/>
      <c r="V4" s="7"/>
      <c r="W4" s="7"/>
    </row>
    <row r="5" spans="1:23" x14ac:dyDescent="0.25">
      <c r="A5" s="177" t="s">
        <v>178</v>
      </c>
      <c r="B5" s="177"/>
      <c r="C5" s="177"/>
      <c r="D5" s="177"/>
      <c r="E5" s="177"/>
      <c r="F5" s="177"/>
      <c r="G5" s="177"/>
      <c r="H5" s="17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7"/>
      <c r="T7" s="9"/>
      <c r="U7" s="7"/>
      <c r="V7" s="7"/>
    </row>
    <row r="8" spans="1:23" x14ac:dyDescent="0.25">
      <c r="T8" s="10"/>
    </row>
    <row r="9" spans="1:23" x14ac:dyDescent="0.25">
      <c r="A9" s="178" t="s">
        <v>313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3" x14ac:dyDescent="0.25">
      <c r="A10" s="179" t="s">
        <v>0</v>
      </c>
      <c r="B10" s="179" t="s">
        <v>1</v>
      </c>
      <c r="C10" s="180" t="s">
        <v>115</v>
      </c>
      <c r="D10" s="181"/>
      <c r="E10" s="180" t="s">
        <v>98</v>
      </c>
      <c r="F10" s="184"/>
      <c r="G10" s="184"/>
      <c r="H10" s="184"/>
      <c r="I10" s="184"/>
      <c r="J10" s="184"/>
      <c r="K10" s="184"/>
      <c r="L10" s="184"/>
      <c r="M10" s="184"/>
      <c r="N10" s="185"/>
      <c r="O10" s="179" t="s">
        <v>116</v>
      </c>
      <c r="P10" s="179"/>
      <c r="Q10" s="12"/>
      <c r="R10" s="12"/>
      <c r="S10" s="186" t="s">
        <v>117</v>
      </c>
      <c r="T10" s="188" t="s">
        <v>314</v>
      </c>
      <c r="U10" s="179" t="s">
        <v>118</v>
      </c>
      <c r="V10" s="179"/>
    </row>
    <row r="11" spans="1:23" x14ac:dyDescent="0.25">
      <c r="A11" s="179"/>
      <c r="B11" s="179"/>
      <c r="C11" s="182"/>
      <c r="D11" s="183"/>
      <c r="E11" s="182" t="s">
        <v>3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P11" s="179"/>
      <c r="Q11" s="191" t="s">
        <v>119</v>
      </c>
      <c r="R11" s="13"/>
      <c r="S11" s="187"/>
      <c r="T11" s="189"/>
      <c r="U11" s="179"/>
      <c r="V11" s="179"/>
    </row>
    <row r="12" spans="1:23" ht="150.75" customHeight="1" x14ac:dyDescent="0.25">
      <c r="A12" s="179"/>
      <c r="B12" s="179"/>
      <c r="C12" s="11" t="s">
        <v>120</v>
      </c>
      <c r="D12" s="14" t="s">
        <v>282</v>
      </c>
      <c r="E12" s="14" t="s">
        <v>62</v>
      </c>
      <c r="F12" s="14" t="s">
        <v>281</v>
      </c>
      <c r="G12" s="14" t="s">
        <v>121</v>
      </c>
      <c r="H12" s="14" t="s">
        <v>147</v>
      </c>
      <c r="I12" s="14" t="s">
        <v>148</v>
      </c>
      <c r="J12" s="11" t="s">
        <v>97</v>
      </c>
      <c r="K12" s="11" t="s">
        <v>358</v>
      </c>
      <c r="L12" s="11" t="s">
        <v>149</v>
      </c>
      <c r="M12" s="11" t="s">
        <v>226</v>
      </c>
      <c r="N12" s="11" t="s">
        <v>376</v>
      </c>
      <c r="O12" s="14" t="s">
        <v>146</v>
      </c>
      <c r="P12" s="14" t="s">
        <v>250</v>
      </c>
      <c r="Q12" s="192"/>
      <c r="R12" s="15"/>
      <c r="S12" s="14" t="s">
        <v>122</v>
      </c>
      <c r="T12" s="190"/>
      <c r="U12" s="11" t="s">
        <v>123</v>
      </c>
      <c r="V12" s="11" t="s">
        <v>124</v>
      </c>
    </row>
    <row r="13" spans="1:23" x14ac:dyDescent="0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/>
      <c r="R13" s="16"/>
      <c r="S13" s="16" t="s">
        <v>125</v>
      </c>
      <c r="T13" s="16">
        <v>17</v>
      </c>
      <c r="U13" s="16">
        <v>18</v>
      </c>
      <c r="V13" s="16">
        <v>19</v>
      </c>
    </row>
    <row r="14" spans="1:23" ht="12.6" hidden="1" customHeight="1" x14ac:dyDescent="0.25">
      <c r="A14" s="17"/>
      <c r="B14" s="18"/>
      <c r="C14" s="18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20">
        <v>0.33102756</v>
      </c>
      <c r="O14" s="16"/>
      <c r="P14" s="16"/>
      <c r="Q14" s="16"/>
      <c r="R14" s="16"/>
      <c r="S14" s="16"/>
      <c r="T14" s="16"/>
      <c r="U14" s="16"/>
      <c r="V14" s="16"/>
    </row>
    <row r="15" spans="1:23" x14ac:dyDescent="0.25">
      <c r="A15" s="21" t="s">
        <v>175</v>
      </c>
      <c r="B15" s="22"/>
      <c r="C15" s="22"/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3" x14ac:dyDescent="0.25">
      <c r="A16" s="24">
        <v>1</v>
      </c>
      <c r="B16" s="25" t="s">
        <v>59</v>
      </c>
      <c r="C16" s="26">
        <v>1</v>
      </c>
      <c r="D16" s="26">
        <v>1</v>
      </c>
      <c r="E16" s="27">
        <f>C16*F16</f>
        <v>33651</v>
      </c>
      <c r="F16" s="27">
        <v>33651</v>
      </c>
      <c r="G16" s="27">
        <v>0</v>
      </c>
      <c r="H16" s="27">
        <v>0</v>
      </c>
      <c r="I16" s="27">
        <f>(E16+G16)*20%</f>
        <v>6730.2</v>
      </c>
      <c r="J16" s="27">
        <v>0</v>
      </c>
      <c r="K16" s="27">
        <v>0</v>
      </c>
      <c r="L16" s="27">
        <f>E16*30%</f>
        <v>10095.299999999999</v>
      </c>
      <c r="M16" s="27">
        <v>0</v>
      </c>
      <c r="N16" s="27">
        <v>0</v>
      </c>
      <c r="O16" s="27">
        <v>0</v>
      </c>
      <c r="P16" s="27">
        <v>0</v>
      </c>
      <c r="Q16" s="27">
        <f t="shared" ref="Q16:Q22" si="0">S16/C16</f>
        <v>50476.5</v>
      </c>
      <c r="R16" s="27"/>
      <c r="S16" s="27">
        <f>E16+G16+I16+L16</f>
        <v>50476.5</v>
      </c>
      <c r="T16" s="27">
        <f t="shared" ref="T16:T26" si="1">ROUND(S16*12,2)</f>
        <v>605718</v>
      </c>
      <c r="U16" s="28"/>
      <c r="V16" s="28"/>
    </row>
    <row r="17" spans="1:22" x14ac:dyDescent="0.25">
      <c r="A17" s="24">
        <v>2</v>
      </c>
      <c r="B17" s="29" t="s">
        <v>78</v>
      </c>
      <c r="C17" s="30">
        <v>2</v>
      </c>
      <c r="D17" s="30">
        <v>2</v>
      </c>
      <c r="E17" s="27">
        <f t="shared" ref="E17:E26" si="2">C17*F17</f>
        <v>60572</v>
      </c>
      <c r="F17" s="27">
        <v>30286</v>
      </c>
      <c r="G17" s="27">
        <v>0</v>
      </c>
      <c r="H17" s="27">
        <v>0</v>
      </c>
      <c r="I17" s="27">
        <f t="shared" ref="I17:I22" si="3">(E17+G17)*20%</f>
        <v>12114.4</v>
      </c>
      <c r="J17" s="27">
        <v>0</v>
      </c>
      <c r="K17" s="27">
        <v>0</v>
      </c>
      <c r="L17" s="27">
        <f t="shared" ref="L17:L22" si="4">E17*30%</f>
        <v>18171.599999999999</v>
      </c>
      <c r="M17" s="27">
        <v>0</v>
      </c>
      <c r="N17" s="27">
        <v>0</v>
      </c>
      <c r="O17" s="27">
        <v>0</v>
      </c>
      <c r="P17" s="27">
        <v>0</v>
      </c>
      <c r="Q17" s="27">
        <f t="shared" si="0"/>
        <v>45429</v>
      </c>
      <c r="R17" s="27"/>
      <c r="S17" s="27">
        <f t="shared" ref="S17:S22" si="5">E17+G17+I17+L17</f>
        <v>90858</v>
      </c>
      <c r="T17" s="27">
        <f t="shared" si="1"/>
        <v>1090296</v>
      </c>
      <c r="U17" s="28"/>
      <c r="V17" s="28"/>
    </row>
    <row r="18" spans="1:22" x14ac:dyDescent="0.25">
      <c r="A18" s="24">
        <v>3</v>
      </c>
      <c r="B18" s="29" t="s">
        <v>213</v>
      </c>
      <c r="C18" s="30">
        <v>1</v>
      </c>
      <c r="D18" s="30">
        <v>1</v>
      </c>
      <c r="E18" s="27">
        <f t="shared" si="2"/>
        <v>20129</v>
      </c>
      <c r="F18" s="27">
        <v>20129</v>
      </c>
      <c r="G18" s="27">
        <v>0</v>
      </c>
      <c r="H18" s="27">
        <v>0</v>
      </c>
      <c r="I18" s="27">
        <f t="shared" si="3"/>
        <v>4025.8</v>
      </c>
      <c r="J18" s="27">
        <v>0</v>
      </c>
      <c r="K18" s="27">
        <v>0</v>
      </c>
      <c r="L18" s="27">
        <f t="shared" si="4"/>
        <v>6038.7</v>
      </c>
      <c r="M18" s="27">
        <v>0</v>
      </c>
      <c r="N18" s="27">
        <v>0</v>
      </c>
      <c r="O18" s="27">
        <v>0</v>
      </c>
      <c r="P18" s="27">
        <v>0</v>
      </c>
      <c r="Q18" s="27">
        <f t="shared" si="0"/>
        <v>30193.5</v>
      </c>
      <c r="R18" s="27"/>
      <c r="S18" s="27">
        <f t="shared" si="5"/>
        <v>30193.5</v>
      </c>
      <c r="T18" s="27">
        <f t="shared" si="1"/>
        <v>362322</v>
      </c>
      <c r="U18" s="28"/>
      <c r="V18" s="28"/>
    </row>
    <row r="19" spans="1:22" x14ac:dyDescent="0.25">
      <c r="A19" s="24">
        <v>4</v>
      </c>
      <c r="B19" s="29" t="s">
        <v>86</v>
      </c>
      <c r="C19" s="30">
        <v>1</v>
      </c>
      <c r="D19" s="30">
        <v>1</v>
      </c>
      <c r="E19" s="27">
        <f t="shared" si="2"/>
        <v>30286</v>
      </c>
      <c r="F19" s="27">
        <v>30286</v>
      </c>
      <c r="G19" s="27">
        <v>0</v>
      </c>
      <c r="H19" s="27">
        <v>0</v>
      </c>
      <c r="I19" s="27">
        <f t="shared" si="3"/>
        <v>6057.2</v>
      </c>
      <c r="J19" s="27">
        <v>0</v>
      </c>
      <c r="K19" s="27">
        <v>0</v>
      </c>
      <c r="L19" s="27">
        <f t="shared" si="4"/>
        <v>9085.7999999999993</v>
      </c>
      <c r="M19" s="27">
        <v>0</v>
      </c>
      <c r="N19" s="27">
        <v>0</v>
      </c>
      <c r="O19" s="27">
        <v>0</v>
      </c>
      <c r="P19" s="27">
        <v>0</v>
      </c>
      <c r="Q19" s="27">
        <f t="shared" si="0"/>
        <v>45429</v>
      </c>
      <c r="R19" s="27"/>
      <c r="S19" s="27">
        <f t="shared" si="5"/>
        <v>45429</v>
      </c>
      <c r="T19" s="27">
        <f t="shared" si="1"/>
        <v>545148</v>
      </c>
      <c r="U19" s="28"/>
      <c r="V19" s="28"/>
    </row>
    <row r="20" spans="1:22" x14ac:dyDescent="0.25">
      <c r="A20" s="24">
        <v>5</v>
      </c>
      <c r="B20" s="29" t="s">
        <v>61</v>
      </c>
      <c r="C20" s="30">
        <v>5</v>
      </c>
      <c r="D20" s="30">
        <v>4</v>
      </c>
      <c r="E20" s="27">
        <f t="shared" si="2"/>
        <v>88245</v>
      </c>
      <c r="F20" s="27">
        <v>17649</v>
      </c>
      <c r="G20" s="27">
        <v>0</v>
      </c>
      <c r="H20" s="27">
        <v>0</v>
      </c>
      <c r="I20" s="27">
        <f t="shared" si="3"/>
        <v>17649</v>
      </c>
      <c r="J20" s="27">
        <v>0</v>
      </c>
      <c r="K20" s="27">
        <v>0</v>
      </c>
      <c r="L20" s="27">
        <f t="shared" si="4"/>
        <v>26473.5</v>
      </c>
      <c r="M20" s="27">
        <v>0</v>
      </c>
      <c r="N20" s="27">
        <v>0</v>
      </c>
      <c r="O20" s="27">
        <v>0</v>
      </c>
      <c r="P20" s="27">
        <v>0</v>
      </c>
      <c r="Q20" s="27">
        <f t="shared" si="0"/>
        <v>26473.5</v>
      </c>
      <c r="R20" s="27"/>
      <c r="S20" s="27">
        <f t="shared" si="5"/>
        <v>132367.5</v>
      </c>
      <c r="T20" s="27">
        <f t="shared" si="1"/>
        <v>1588410</v>
      </c>
      <c r="U20" s="28"/>
      <c r="V20" s="28"/>
    </row>
    <row r="21" spans="1:22" x14ac:dyDescent="0.25">
      <c r="A21" s="24">
        <v>6</v>
      </c>
      <c r="B21" s="29" t="s">
        <v>214</v>
      </c>
      <c r="C21" s="30">
        <v>1</v>
      </c>
      <c r="D21" s="30">
        <v>1</v>
      </c>
      <c r="E21" s="27">
        <f t="shared" si="2"/>
        <v>16037</v>
      </c>
      <c r="F21" s="27">
        <v>16037</v>
      </c>
      <c r="G21" s="27">
        <v>0</v>
      </c>
      <c r="H21" s="27">
        <v>0</v>
      </c>
      <c r="I21" s="27">
        <f t="shared" si="3"/>
        <v>3207.4</v>
      </c>
      <c r="J21" s="27">
        <v>0</v>
      </c>
      <c r="K21" s="27">
        <v>0</v>
      </c>
      <c r="L21" s="27">
        <f t="shared" si="4"/>
        <v>4811.1000000000004</v>
      </c>
      <c r="M21" s="27">
        <v>0</v>
      </c>
      <c r="N21" s="27">
        <v>0</v>
      </c>
      <c r="O21" s="27">
        <v>0</v>
      </c>
      <c r="P21" s="27">
        <v>0</v>
      </c>
      <c r="Q21" s="27">
        <f t="shared" si="0"/>
        <v>24055.5</v>
      </c>
      <c r="R21" s="27"/>
      <c r="S21" s="27">
        <f t="shared" si="5"/>
        <v>24055.5</v>
      </c>
      <c r="T21" s="27">
        <f t="shared" si="1"/>
        <v>288666</v>
      </c>
      <c r="U21" s="28"/>
      <c r="V21" s="28"/>
    </row>
    <row r="22" spans="1:22" x14ac:dyDescent="0.25">
      <c r="A22" s="24">
        <v>7</v>
      </c>
      <c r="B22" s="29" t="s">
        <v>216</v>
      </c>
      <c r="C22" s="30">
        <v>1</v>
      </c>
      <c r="D22" s="30">
        <v>1</v>
      </c>
      <c r="E22" s="27">
        <f t="shared" si="2"/>
        <v>17649</v>
      </c>
      <c r="F22" s="27">
        <v>17649</v>
      </c>
      <c r="G22" s="27">
        <v>0</v>
      </c>
      <c r="H22" s="27">
        <v>0</v>
      </c>
      <c r="I22" s="27">
        <f t="shared" si="3"/>
        <v>3529.8</v>
      </c>
      <c r="J22" s="27">
        <v>0</v>
      </c>
      <c r="K22" s="27">
        <v>0</v>
      </c>
      <c r="L22" s="27">
        <f t="shared" si="4"/>
        <v>5294.7</v>
      </c>
      <c r="M22" s="27">
        <v>0</v>
      </c>
      <c r="N22" s="27">
        <v>0</v>
      </c>
      <c r="O22" s="27">
        <v>0</v>
      </c>
      <c r="P22" s="27">
        <v>0</v>
      </c>
      <c r="Q22" s="27">
        <f t="shared" si="0"/>
        <v>26473.5</v>
      </c>
      <c r="R22" s="27"/>
      <c r="S22" s="27">
        <f t="shared" si="5"/>
        <v>26473.5</v>
      </c>
      <c r="T22" s="27">
        <f t="shared" si="1"/>
        <v>317682</v>
      </c>
      <c r="U22" s="28"/>
      <c r="V22" s="28"/>
    </row>
    <row r="23" spans="1:22" x14ac:dyDescent="0.25">
      <c r="A23" s="24">
        <v>8</v>
      </c>
      <c r="B23" s="29" t="s">
        <v>305</v>
      </c>
      <c r="C23" s="30">
        <v>1</v>
      </c>
      <c r="D23" s="30">
        <v>1</v>
      </c>
      <c r="E23" s="27">
        <f t="shared" si="2"/>
        <v>17649</v>
      </c>
      <c r="F23" s="27">
        <v>17649</v>
      </c>
      <c r="G23" s="27">
        <v>0</v>
      </c>
      <c r="H23" s="27">
        <v>0</v>
      </c>
      <c r="I23" s="27">
        <f t="shared" ref="I23:I25" si="6">(E23+G23)*20%</f>
        <v>3529.8</v>
      </c>
      <c r="J23" s="27">
        <v>0</v>
      </c>
      <c r="K23" s="27">
        <v>0</v>
      </c>
      <c r="L23" s="27">
        <f t="shared" ref="L23:L25" si="7">E23*30%</f>
        <v>5294.7</v>
      </c>
      <c r="M23" s="27">
        <v>0</v>
      </c>
      <c r="N23" s="27">
        <v>0</v>
      </c>
      <c r="O23" s="27">
        <v>0</v>
      </c>
      <c r="P23" s="27">
        <v>0</v>
      </c>
      <c r="Q23" s="27">
        <f t="shared" ref="Q23:Q25" si="8">S23/C23</f>
        <v>26473.5</v>
      </c>
      <c r="R23" s="27"/>
      <c r="S23" s="27">
        <f t="shared" ref="S23:S24" si="9">E23+G23+I23+L23</f>
        <v>26473.5</v>
      </c>
      <c r="T23" s="27">
        <f t="shared" si="1"/>
        <v>317682</v>
      </c>
      <c r="U23" s="28"/>
      <c r="V23" s="28"/>
    </row>
    <row r="24" spans="1:22" x14ac:dyDescent="0.25">
      <c r="A24" s="24">
        <v>9</v>
      </c>
      <c r="B24" s="29" t="s">
        <v>304</v>
      </c>
      <c r="C24" s="30">
        <v>1</v>
      </c>
      <c r="D24" s="30">
        <v>1</v>
      </c>
      <c r="E24" s="27">
        <f t="shared" si="2"/>
        <v>13345</v>
      </c>
      <c r="F24" s="27">
        <v>13345</v>
      </c>
      <c r="G24" s="27">
        <v>0</v>
      </c>
      <c r="H24" s="27">
        <v>0</v>
      </c>
      <c r="I24" s="27">
        <f t="shared" si="6"/>
        <v>2669</v>
      </c>
      <c r="J24" s="27">
        <v>0</v>
      </c>
      <c r="K24" s="27">
        <v>0</v>
      </c>
      <c r="L24" s="27">
        <f t="shared" si="7"/>
        <v>4003.5</v>
      </c>
      <c r="M24" s="27">
        <v>0</v>
      </c>
      <c r="N24" s="27">
        <v>0</v>
      </c>
      <c r="O24" s="27">
        <v>0</v>
      </c>
      <c r="P24" s="27">
        <v>0</v>
      </c>
      <c r="Q24" s="27">
        <f t="shared" si="8"/>
        <v>20017.5</v>
      </c>
      <c r="R24" s="27"/>
      <c r="S24" s="27">
        <f t="shared" si="9"/>
        <v>20017.5</v>
      </c>
      <c r="T24" s="27">
        <f t="shared" si="1"/>
        <v>240210</v>
      </c>
      <c r="U24" s="28"/>
      <c r="V24" s="28"/>
    </row>
    <row r="25" spans="1:22" x14ac:dyDescent="0.25">
      <c r="A25" s="24">
        <v>10</v>
      </c>
      <c r="B25" s="29" t="s">
        <v>94</v>
      </c>
      <c r="C25" s="30">
        <v>2</v>
      </c>
      <c r="D25" s="30">
        <v>2</v>
      </c>
      <c r="E25" s="27">
        <f t="shared" si="2"/>
        <v>24348</v>
      </c>
      <c r="F25" s="27">
        <v>12174</v>
      </c>
      <c r="G25" s="27">
        <v>0</v>
      </c>
      <c r="H25" s="27">
        <v>0</v>
      </c>
      <c r="I25" s="27">
        <f t="shared" si="6"/>
        <v>4869.6000000000004</v>
      </c>
      <c r="J25" s="27">
        <v>0</v>
      </c>
      <c r="K25" s="27">
        <v>1478</v>
      </c>
      <c r="L25" s="27">
        <f t="shared" si="7"/>
        <v>7304.4</v>
      </c>
      <c r="M25" s="27">
        <v>0</v>
      </c>
      <c r="N25" s="27">
        <v>0</v>
      </c>
      <c r="O25" s="27">
        <v>0</v>
      </c>
      <c r="P25" s="27">
        <v>0</v>
      </c>
      <c r="Q25" s="27">
        <f t="shared" si="8"/>
        <v>19000</v>
      </c>
      <c r="R25" s="27"/>
      <c r="S25" s="27">
        <f>E25+G25+I25+L25+K25</f>
        <v>38000</v>
      </c>
      <c r="T25" s="27">
        <f t="shared" si="1"/>
        <v>456000</v>
      </c>
      <c r="U25" s="28"/>
      <c r="V25" s="28"/>
    </row>
    <row r="26" spans="1:22" x14ac:dyDescent="0.25">
      <c r="A26" s="31">
        <v>11</v>
      </c>
      <c r="B26" s="29" t="s">
        <v>94</v>
      </c>
      <c r="C26" s="30">
        <v>2</v>
      </c>
      <c r="D26" s="30">
        <v>1</v>
      </c>
      <c r="E26" s="27">
        <f t="shared" si="2"/>
        <v>19536</v>
      </c>
      <c r="F26" s="27">
        <v>9768</v>
      </c>
      <c r="G26" s="27">
        <v>0</v>
      </c>
      <c r="H26" s="27">
        <v>0</v>
      </c>
      <c r="I26" s="27">
        <f t="shared" ref="I26" si="10">(E26+G26)*20%</f>
        <v>3907.2</v>
      </c>
      <c r="J26" s="27">
        <v>0</v>
      </c>
      <c r="K26" s="27">
        <v>8695.99</v>
      </c>
      <c r="L26" s="27">
        <f t="shared" ref="L26" si="11">E26*30%</f>
        <v>5860.8</v>
      </c>
      <c r="M26" s="27">
        <v>0</v>
      </c>
      <c r="N26" s="27">
        <v>0</v>
      </c>
      <c r="O26" s="27">
        <v>0</v>
      </c>
      <c r="P26" s="27">
        <v>0</v>
      </c>
      <c r="Q26" s="27">
        <f t="shared" ref="Q26" si="12">S26/C26</f>
        <v>19000</v>
      </c>
      <c r="R26" s="27"/>
      <c r="S26" s="27">
        <f>E26+G26+I26+L26+K26</f>
        <v>37999.99</v>
      </c>
      <c r="T26" s="27">
        <f t="shared" si="1"/>
        <v>455999.88</v>
      </c>
      <c r="U26" s="28"/>
      <c r="V26" s="28"/>
    </row>
    <row r="27" spans="1:22" x14ac:dyDescent="0.25">
      <c r="A27" s="195" t="s">
        <v>159</v>
      </c>
      <c r="B27" s="196"/>
      <c r="C27" s="32">
        <f>SUM(C16:C26)</f>
        <v>18</v>
      </c>
      <c r="D27" s="32">
        <f>SUM(D16:D26)</f>
        <v>16</v>
      </c>
      <c r="E27" s="32">
        <f>SUM(E16:E26)</f>
        <v>341447</v>
      </c>
      <c r="F27" s="32"/>
      <c r="G27" s="32">
        <f>SUM(G16:G25)</f>
        <v>0</v>
      </c>
      <c r="H27" s="32">
        <f>SUM(H16:H21)</f>
        <v>0</v>
      </c>
      <c r="I27" s="32">
        <f>SUM(I16:I26)</f>
        <v>68289.399999999994</v>
      </c>
      <c r="J27" s="32">
        <f>SUM(J16:J21)</f>
        <v>0</v>
      </c>
      <c r="K27" s="32">
        <f>SUM(K16:K26)</f>
        <v>10173.99</v>
      </c>
      <c r="L27" s="32">
        <f>SUM(L16:L26)</f>
        <v>102434.1</v>
      </c>
      <c r="M27" s="32">
        <f>SUM(M16:M21)</f>
        <v>0</v>
      </c>
      <c r="N27" s="32">
        <f>(E27+G27+H27+I27+J27+K27+L27)*N14</f>
        <v>172910.42</v>
      </c>
      <c r="O27" s="32">
        <f>SUM(O16:O21)</f>
        <v>0</v>
      </c>
      <c r="P27" s="32">
        <f>SUM(P16:P21)</f>
        <v>0</v>
      </c>
      <c r="Q27" s="32">
        <f>SUM(Q16:Q21)</f>
        <v>222057</v>
      </c>
      <c r="R27" s="32">
        <f>SUM(R16:R21)</f>
        <v>0</v>
      </c>
      <c r="S27" s="32">
        <f>SUM(S16:S21)</f>
        <v>373380</v>
      </c>
      <c r="T27" s="32">
        <f>SUM(T16:T26)+N27*12</f>
        <v>8343058.9199999999</v>
      </c>
      <c r="U27" s="32"/>
      <c r="V27" s="32"/>
    </row>
    <row r="28" spans="1:22" x14ac:dyDescent="0.25">
      <c r="A28" s="197" t="s">
        <v>174</v>
      </c>
      <c r="B28" s="198"/>
      <c r="C28" s="198"/>
      <c r="D28" s="19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  <c r="V28" s="28"/>
    </row>
    <row r="29" spans="1:22" x14ac:dyDescent="0.25">
      <c r="A29" s="24">
        <v>12</v>
      </c>
      <c r="B29" s="29" t="s">
        <v>300</v>
      </c>
      <c r="C29" s="30">
        <v>3</v>
      </c>
      <c r="D29" s="30">
        <v>3</v>
      </c>
      <c r="E29" s="27">
        <f t="shared" ref="E29:E36" si="13">C29*F29</f>
        <v>88704</v>
      </c>
      <c r="F29" s="27">
        <v>29568</v>
      </c>
      <c r="G29" s="27">
        <v>0</v>
      </c>
      <c r="H29" s="27">
        <v>0</v>
      </c>
      <c r="I29" s="27">
        <f t="shared" ref="I29:I46" si="14">(E29+G29)*20%</f>
        <v>17740.8</v>
      </c>
      <c r="J29" s="27">
        <v>0</v>
      </c>
      <c r="K29" s="27">
        <v>0</v>
      </c>
      <c r="L29" s="27">
        <f t="shared" ref="L29:L47" si="15">E29*30%</f>
        <v>26611.200000000001</v>
      </c>
      <c r="M29" s="27">
        <v>0</v>
      </c>
      <c r="N29" s="27">
        <v>0</v>
      </c>
      <c r="O29" s="27">
        <v>0</v>
      </c>
      <c r="P29" s="27">
        <v>0</v>
      </c>
      <c r="Q29" s="27">
        <f t="shared" ref="Q29:Q47" si="16">S29/C29</f>
        <v>44352</v>
      </c>
      <c r="R29" s="27"/>
      <c r="S29" s="27">
        <f t="shared" ref="S29:S39" si="17">E29+G29+I29+L29</f>
        <v>133056</v>
      </c>
      <c r="T29" s="27">
        <f t="shared" ref="T29:T45" si="18">ROUND(S29*12,2)</f>
        <v>1596672</v>
      </c>
      <c r="U29" s="28"/>
      <c r="V29" s="28"/>
    </row>
    <row r="30" spans="1:22" ht="25.5" x14ac:dyDescent="0.25">
      <c r="A30" s="24">
        <v>13</v>
      </c>
      <c r="B30" s="29" t="s">
        <v>222</v>
      </c>
      <c r="C30" s="30">
        <v>1</v>
      </c>
      <c r="D30" s="30">
        <v>1</v>
      </c>
      <c r="E30" s="27">
        <f t="shared" si="13"/>
        <v>26206</v>
      </c>
      <c r="F30" s="27">
        <v>26206</v>
      </c>
      <c r="G30" s="27">
        <v>0</v>
      </c>
      <c r="H30" s="27">
        <v>0</v>
      </c>
      <c r="I30" s="27">
        <f t="shared" si="14"/>
        <v>5241.2</v>
      </c>
      <c r="J30" s="27">
        <v>0</v>
      </c>
      <c r="K30" s="27">
        <v>0</v>
      </c>
      <c r="L30" s="27">
        <f t="shared" si="15"/>
        <v>7861.8</v>
      </c>
      <c r="M30" s="27">
        <v>0</v>
      </c>
      <c r="N30" s="27">
        <v>0</v>
      </c>
      <c r="O30" s="27">
        <v>0</v>
      </c>
      <c r="P30" s="27">
        <v>0</v>
      </c>
      <c r="Q30" s="27">
        <f t="shared" si="16"/>
        <v>39309</v>
      </c>
      <c r="R30" s="27"/>
      <c r="S30" s="27">
        <f t="shared" si="17"/>
        <v>39309</v>
      </c>
      <c r="T30" s="27">
        <f t="shared" si="18"/>
        <v>471708</v>
      </c>
      <c r="U30" s="28"/>
      <c r="V30" s="28"/>
    </row>
    <row r="31" spans="1:22" x14ac:dyDescent="0.25">
      <c r="A31" s="24">
        <v>14</v>
      </c>
      <c r="B31" s="29" t="s">
        <v>306</v>
      </c>
      <c r="C31" s="30">
        <v>1</v>
      </c>
      <c r="D31" s="30">
        <v>1</v>
      </c>
      <c r="E31" s="27">
        <f t="shared" si="13"/>
        <v>28828</v>
      </c>
      <c r="F31" s="27">
        <v>28828</v>
      </c>
      <c r="G31" s="27">
        <v>0</v>
      </c>
      <c r="H31" s="27">
        <v>0</v>
      </c>
      <c r="I31" s="27">
        <f t="shared" si="14"/>
        <v>5765.6</v>
      </c>
      <c r="J31" s="27">
        <v>0</v>
      </c>
      <c r="K31" s="27">
        <v>0</v>
      </c>
      <c r="L31" s="27">
        <f t="shared" si="15"/>
        <v>8648.4</v>
      </c>
      <c r="M31" s="27">
        <v>0</v>
      </c>
      <c r="N31" s="27">
        <v>0</v>
      </c>
      <c r="O31" s="27">
        <v>0</v>
      </c>
      <c r="P31" s="27">
        <v>0</v>
      </c>
      <c r="Q31" s="27">
        <f t="shared" si="16"/>
        <v>43242</v>
      </c>
      <c r="R31" s="27"/>
      <c r="S31" s="27">
        <f t="shared" si="17"/>
        <v>43242</v>
      </c>
      <c r="T31" s="27">
        <f t="shared" si="18"/>
        <v>518904</v>
      </c>
      <c r="U31" s="28"/>
      <c r="V31" s="28"/>
    </row>
    <row r="32" spans="1:22" ht="25.5" x14ac:dyDescent="0.25">
      <c r="A32" s="24">
        <v>15</v>
      </c>
      <c r="B32" s="29" t="s">
        <v>307</v>
      </c>
      <c r="C32" s="30">
        <v>1</v>
      </c>
      <c r="D32" s="30">
        <v>0.8</v>
      </c>
      <c r="E32" s="27">
        <f t="shared" si="13"/>
        <v>26600</v>
      </c>
      <c r="F32" s="27">
        <v>26600</v>
      </c>
      <c r="G32" s="27">
        <v>0</v>
      </c>
      <c r="H32" s="27">
        <v>0</v>
      </c>
      <c r="I32" s="27">
        <f t="shared" si="14"/>
        <v>5320</v>
      </c>
      <c r="J32" s="27">
        <v>0</v>
      </c>
      <c r="K32" s="27">
        <v>0</v>
      </c>
      <c r="L32" s="27">
        <f t="shared" si="15"/>
        <v>7980</v>
      </c>
      <c r="M32" s="27">
        <v>0</v>
      </c>
      <c r="N32" s="27">
        <v>0</v>
      </c>
      <c r="O32" s="27">
        <v>0</v>
      </c>
      <c r="P32" s="27">
        <v>0</v>
      </c>
      <c r="Q32" s="27">
        <f t="shared" si="16"/>
        <v>39900</v>
      </c>
      <c r="R32" s="27"/>
      <c r="S32" s="27">
        <f t="shared" si="17"/>
        <v>39900</v>
      </c>
      <c r="T32" s="27">
        <f t="shared" si="18"/>
        <v>478800</v>
      </c>
      <c r="U32" s="28"/>
      <c r="V32" s="28"/>
    </row>
    <row r="33" spans="1:22" x14ac:dyDescent="0.25">
      <c r="A33" s="24">
        <v>16</v>
      </c>
      <c r="B33" s="29" t="s">
        <v>303</v>
      </c>
      <c r="C33" s="30">
        <v>1</v>
      </c>
      <c r="D33" s="30">
        <v>0</v>
      </c>
      <c r="E33" s="27">
        <f t="shared" si="13"/>
        <v>27069</v>
      </c>
      <c r="F33" s="27">
        <v>27069</v>
      </c>
      <c r="G33" s="27">
        <v>0</v>
      </c>
      <c r="H33" s="27">
        <v>0</v>
      </c>
      <c r="I33" s="27">
        <f t="shared" si="14"/>
        <v>5413.8</v>
      </c>
      <c r="J33" s="27">
        <v>0</v>
      </c>
      <c r="K33" s="27">
        <v>0</v>
      </c>
      <c r="L33" s="27">
        <f t="shared" si="15"/>
        <v>8120.7</v>
      </c>
      <c r="M33" s="27">
        <v>0</v>
      </c>
      <c r="N33" s="27">
        <v>0</v>
      </c>
      <c r="O33" s="27">
        <v>0</v>
      </c>
      <c r="P33" s="27">
        <v>0</v>
      </c>
      <c r="Q33" s="27">
        <f t="shared" si="16"/>
        <v>40603.5</v>
      </c>
      <c r="R33" s="27"/>
      <c r="S33" s="27">
        <f t="shared" si="17"/>
        <v>40603.5</v>
      </c>
      <c r="T33" s="27">
        <f t="shared" si="18"/>
        <v>487242</v>
      </c>
      <c r="U33" s="28"/>
      <c r="V33" s="28"/>
    </row>
    <row r="34" spans="1:22" x14ac:dyDescent="0.25">
      <c r="A34" s="24">
        <v>17</v>
      </c>
      <c r="B34" s="29" t="s">
        <v>283</v>
      </c>
      <c r="C34" s="30">
        <v>1</v>
      </c>
      <c r="D34" s="30">
        <v>0</v>
      </c>
      <c r="E34" s="27">
        <f t="shared" si="13"/>
        <v>23025</v>
      </c>
      <c r="F34" s="27">
        <v>23025</v>
      </c>
      <c r="G34" s="27">
        <v>0</v>
      </c>
      <c r="H34" s="27">
        <v>0</v>
      </c>
      <c r="I34" s="27">
        <f t="shared" si="14"/>
        <v>4605</v>
      </c>
      <c r="J34" s="27">
        <v>0</v>
      </c>
      <c r="K34" s="27">
        <v>0</v>
      </c>
      <c r="L34" s="27">
        <f t="shared" si="15"/>
        <v>6907.5</v>
      </c>
      <c r="M34" s="27">
        <v>0</v>
      </c>
      <c r="N34" s="27">
        <v>0</v>
      </c>
      <c r="O34" s="27">
        <v>0</v>
      </c>
      <c r="P34" s="27">
        <v>0</v>
      </c>
      <c r="Q34" s="27">
        <f t="shared" si="16"/>
        <v>34537.5</v>
      </c>
      <c r="R34" s="27"/>
      <c r="S34" s="27">
        <f t="shared" si="17"/>
        <v>34537.5</v>
      </c>
      <c r="T34" s="27">
        <f t="shared" si="18"/>
        <v>414450</v>
      </c>
      <c r="U34" s="28"/>
      <c r="V34" s="28"/>
    </row>
    <row r="35" spans="1:22" x14ac:dyDescent="0.25">
      <c r="A35" s="24">
        <v>18</v>
      </c>
      <c r="B35" s="29" t="s">
        <v>79</v>
      </c>
      <c r="C35" s="30">
        <v>1</v>
      </c>
      <c r="D35" s="30">
        <v>1</v>
      </c>
      <c r="E35" s="27">
        <f t="shared" si="13"/>
        <v>28828</v>
      </c>
      <c r="F35" s="27">
        <v>28828</v>
      </c>
      <c r="G35" s="27">
        <v>0</v>
      </c>
      <c r="H35" s="27">
        <v>0</v>
      </c>
      <c r="I35" s="27">
        <f t="shared" si="14"/>
        <v>5765.6</v>
      </c>
      <c r="J35" s="27">
        <v>0</v>
      </c>
      <c r="K35" s="27">
        <v>0</v>
      </c>
      <c r="L35" s="27">
        <f t="shared" si="15"/>
        <v>8648.4</v>
      </c>
      <c r="M35" s="27">
        <v>0</v>
      </c>
      <c r="N35" s="27">
        <v>0</v>
      </c>
      <c r="O35" s="27">
        <v>0</v>
      </c>
      <c r="P35" s="27">
        <v>0</v>
      </c>
      <c r="Q35" s="27">
        <f t="shared" si="16"/>
        <v>43242</v>
      </c>
      <c r="R35" s="27"/>
      <c r="S35" s="27">
        <f t="shared" si="17"/>
        <v>43242</v>
      </c>
      <c r="T35" s="27">
        <f t="shared" si="18"/>
        <v>518904</v>
      </c>
      <c r="U35" s="28"/>
      <c r="V35" s="28"/>
    </row>
    <row r="36" spans="1:22" x14ac:dyDescent="0.25">
      <c r="A36" s="24">
        <v>19</v>
      </c>
      <c r="B36" s="29" t="s">
        <v>80</v>
      </c>
      <c r="C36" s="30">
        <v>2</v>
      </c>
      <c r="D36" s="30">
        <v>2</v>
      </c>
      <c r="E36" s="27">
        <f t="shared" si="13"/>
        <v>57656</v>
      </c>
      <c r="F36" s="27">
        <v>28828</v>
      </c>
      <c r="G36" s="27">
        <v>0</v>
      </c>
      <c r="H36" s="27">
        <v>0</v>
      </c>
      <c r="I36" s="27">
        <f t="shared" si="14"/>
        <v>11531.2</v>
      </c>
      <c r="J36" s="27">
        <v>0</v>
      </c>
      <c r="K36" s="27">
        <v>0</v>
      </c>
      <c r="L36" s="27">
        <f t="shared" si="15"/>
        <v>17296.8</v>
      </c>
      <c r="M36" s="27">
        <v>0</v>
      </c>
      <c r="N36" s="27">
        <v>0</v>
      </c>
      <c r="O36" s="27">
        <v>0</v>
      </c>
      <c r="P36" s="27">
        <v>0</v>
      </c>
      <c r="Q36" s="27">
        <f t="shared" si="16"/>
        <v>43242</v>
      </c>
      <c r="R36" s="27"/>
      <c r="S36" s="27">
        <f t="shared" si="17"/>
        <v>86484</v>
      </c>
      <c r="T36" s="27">
        <f t="shared" si="18"/>
        <v>1037808</v>
      </c>
      <c r="U36" s="28"/>
      <c r="V36" s="28"/>
    </row>
    <row r="37" spans="1:22" x14ac:dyDescent="0.25">
      <c r="A37" s="24">
        <v>20</v>
      </c>
      <c r="B37" s="29" t="s">
        <v>302</v>
      </c>
      <c r="C37" s="30">
        <v>1</v>
      </c>
      <c r="D37" s="30">
        <v>0</v>
      </c>
      <c r="E37" s="27">
        <v>19098</v>
      </c>
      <c r="F37" s="27">
        <v>19098</v>
      </c>
      <c r="G37" s="27">
        <v>0</v>
      </c>
      <c r="H37" s="27">
        <v>0</v>
      </c>
      <c r="I37" s="27">
        <f t="shared" si="14"/>
        <v>3819.6</v>
      </c>
      <c r="J37" s="27">
        <v>0</v>
      </c>
      <c r="K37" s="27">
        <v>0</v>
      </c>
      <c r="L37" s="27">
        <f t="shared" si="15"/>
        <v>5729.4</v>
      </c>
      <c r="M37" s="27">
        <v>0</v>
      </c>
      <c r="N37" s="27">
        <v>0</v>
      </c>
      <c r="O37" s="27">
        <v>0</v>
      </c>
      <c r="P37" s="27">
        <v>0</v>
      </c>
      <c r="Q37" s="27">
        <f t="shared" si="16"/>
        <v>28647</v>
      </c>
      <c r="R37" s="27"/>
      <c r="S37" s="27">
        <f t="shared" si="17"/>
        <v>28647</v>
      </c>
      <c r="T37" s="27">
        <f t="shared" si="18"/>
        <v>343764</v>
      </c>
      <c r="U37" s="28"/>
      <c r="V37" s="28"/>
    </row>
    <row r="38" spans="1:22" ht="25.5" x14ac:dyDescent="0.25">
      <c r="A38" s="24">
        <v>21</v>
      </c>
      <c r="B38" s="29" t="s">
        <v>81</v>
      </c>
      <c r="C38" s="30">
        <v>1</v>
      </c>
      <c r="D38" s="30">
        <v>1</v>
      </c>
      <c r="E38" s="27">
        <f t="shared" ref="E38:E47" si="19">C38*F38</f>
        <v>33596</v>
      </c>
      <c r="F38" s="27">
        <v>33596</v>
      </c>
      <c r="G38" s="27">
        <v>0</v>
      </c>
      <c r="H38" s="27">
        <v>0</v>
      </c>
      <c r="I38" s="27">
        <f t="shared" si="14"/>
        <v>6719.2</v>
      </c>
      <c r="J38" s="27">
        <v>0</v>
      </c>
      <c r="K38" s="27">
        <v>0</v>
      </c>
      <c r="L38" s="27">
        <f t="shared" si="15"/>
        <v>10078.799999999999</v>
      </c>
      <c r="M38" s="27">
        <v>0</v>
      </c>
      <c r="N38" s="27">
        <v>0</v>
      </c>
      <c r="O38" s="27">
        <v>0</v>
      </c>
      <c r="P38" s="27">
        <v>0</v>
      </c>
      <c r="Q38" s="27">
        <f t="shared" si="16"/>
        <v>50394</v>
      </c>
      <c r="R38" s="27"/>
      <c r="S38" s="27">
        <f t="shared" si="17"/>
        <v>50394</v>
      </c>
      <c r="T38" s="27">
        <f t="shared" si="18"/>
        <v>604728</v>
      </c>
      <c r="U38" s="28"/>
      <c r="V38" s="28"/>
    </row>
    <row r="39" spans="1:22" x14ac:dyDescent="0.25">
      <c r="A39" s="24">
        <v>22</v>
      </c>
      <c r="B39" s="29" t="s">
        <v>82</v>
      </c>
      <c r="C39" s="30">
        <v>1</v>
      </c>
      <c r="D39" s="30">
        <v>1</v>
      </c>
      <c r="E39" s="27">
        <f t="shared" si="19"/>
        <v>28828</v>
      </c>
      <c r="F39" s="27">
        <v>28828</v>
      </c>
      <c r="G39" s="27">
        <f>F39*20%</f>
        <v>5765.6</v>
      </c>
      <c r="H39" s="27">
        <v>0</v>
      </c>
      <c r="I39" s="27">
        <f t="shared" si="14"/>
        <v>6918.72</v>
      </c>
      <c r="J39" s="27">
        <v>0</v>
      </c>
      <c r="K39" s="27">
        <v>0</v>
      </c>
      <c r="L39" s="27">
        <f t="shared" si="15"/>
        <v>8648.4</v>
      </c>
      <c r="M39" s="27">
        <v>0</v>
      </c>
      <c r="N39" s="27">
        <v>0</v>
      </c>
      <c r="O39" s="27">
        <v>0</v>
      </c>
      <c r="P39" s="27">
        <v>0</v>
      </c>
      <c r="Q39" s="27">
        <f t="shared" si="16"/>
        <v>50160.72</v>
      </c>
      <c r="R39" s="27"/>
      <c r="S39" s="27">
        <f t="shared" si="17"/>
        <v>50160.72</v>
      </c>
      <c r="T39" s="27">
        <f>ROUND(S39*12,2)</f>
        <v>601928.64</v>
      </c>
      <c r="U39" s="28"/>
      <c r="V39" s="28"/>
    </row>
    <row r="40" spans="1:22" ht="25.5" x14ac:dyDescent="0.25">
      <c r="A40" s="24">
        <v>23</v>
      </c>
      <c r="B40" s="29" t="s">
        <v>220</v>
      </c>
      <c r="C40" s="30">
        <v>19</v>
      </c>
      <c r="D40" s="30">
        <v>19</v>
      </c>
      <c r="E40" s="27">
        <f t="shared" si="19"/>
        <v>363280</v>
      </c>
      <c r="F40" s="27">
        <v>19120</v>
      </c>
      <c r="G40" s="27">
        <v>11531.2</v>
      </c>
      <c r="H40" s="27">
        <v>0</v>
      </c>
      <c r="I40" s="27">
        <f t="shared" si="14"/>
        <v>74962.240000000005</v>
      </c>
      <c r="J40" s="27">
        <v>0</v>
      </c>
      <c r="K40" s="27">
        <v>0</v>
      </c>
      <c r="L40" s="27">
        <f t="shared" si="15"/>
        <v>108984</v>
      </c>
      <c r="M40" s="27">
        <f>F40*9*50%</f>
        <v>86040</v>
      </c>
      <c r="N40" s="27">
        <v>0</v>
      </c>
      <c r="O40" s="27">
        <v>0</v>
      </c>
      <c r="P40" s="27">
        <v>0</v>
      </c>
      <c r="Q40" s="27">
        <f t="shared" si="16"/>
        <v>33936.71</v>
      </c>
      <c r="R40" s="27"/>
      <c r="S40" s="27">
        <f>E40+G40+I40+L40+M40</f>
        <v>644797.43999999994</v>
      </c>
      <c r="T40" s="27">
        <f>ROUND(S40*12,2)</f>
        <v>7737569.2800000003</v>
      </c>
      <c r="U40" s="28"/>
      <c r="V40" s="28"/>
    </row>
    <row r="41" spans="1:22" x14ac:dyDescent="0.25">
      <c r="A41" s="24">
        <v>24</v>
      </c>
      <c r="B41" s="29" t="s">
        <v>219</v>
      </c>
      <c r="C41" s="30">
        <v>2</v>
      </c>
      <c r="D41" s="30">
        <v>2</v>
      </c>
      <c r="E41" s="27">
        <f t="shared" si="19"/>
        <v>38240</v>
      </c>
      <c r="F41" s="27">
        <v>19120</v>
      </c>
      <c r="G41" s="27">
        <v>0</v>
      </c>
      <c r="H41" s="27">
        <v>0</v>
      </c>
      <c r="I41" s="27">
        <f t="shared" si="14"/>
        <v>7648</v>
      </c>
      <c r="J41" s="27">
        <v>0</v>
      </c>
      <c r="K41" s="27">
        <v>0</v>
      </c>
      <c r="L41" s="27">
        <f t="shared" si="15"/>
        <v>11472</v>
      </c>
      <c r="M41" s="27">
        <v>0</v>
      </c>
      <c r="N41" s="27">
        <v>0</v>
      </c>
      <c r="O41" s="27">
        <v>0</v>
      </c>
      <c r="P41" s="27">
        <v>0</v>
      </c>
      <c r="Q41" s="27">
        <f t="shared" si="16"/>
        <v>28680</v>
      </c>
      <c r="R41" s="27"/>
      <c r="S41" s="27">
        <f t="shared" ref="S41:S47" si="20">E41+G41+I41+L41</f>
        <v>57360</v>
      </c>
      <c r="T41" s="27">
        <f t="shared" si="18"/>
        <v>688320</v>
      </c>
      <c r="U41" s="28"/>
      <c r="V41" s="28"/>
    </row>
    <row r="42" spans="1:22" x14ac:dyDescent="0.25">
      <c r="A42" s="24">
        <v>25</v>
      </c>
      <c r="B42" s="29" t="s">
        <v>83</v>
      </c>
      <c r="C42" s="30">
        <v>3</v>
      </c>
      <c r="D42" s="30">
        <v>2.5</v>
      </c>
      <c r="E42" s="27">
        <f t="shared" si="19"/>
        <v>57360</v>
      </c>
      <c r="F42" s="27">
        <v>19120</v>
      </c>
      <c r="G42" s="27">
        <v>0</v>
      </c>
      <c r="H42" s="27">
        <v>0</v>
      </c>
      <c r="I42" s="27">
        <f t="shared" si="14"/>
        <v>11472</v>
      </c>
      <c r="J42" s="27">
        <v>0</v>
      </c>
      <c r="K42" s="27">
        <v>0</v>
      </c>
      <c r="L42" s="27">
        <f t="shared" si="15"/>
        <v>17208</v>
      </c>
      <c r="M42" s="27">
        <v>0</v>
      </c>
      <c r="N42" s="27">
        <v>0</v>
      </c>
      <c r="O42" s="27">
        <v>0</v>
      </c>
      <c r="P42" s="27">
        <v>0</v>
      </c>
      <c r="Q42" s="27">
        <f t="shared" si="16"/>
        <v>28680</v>
      </c>
      <c r="R42" s="27"/>
      <c r="S42" s="27">
        <f t="shared" si="20"/>
        <v>86040</v>
      </c>
      <c r="T42" s="27">
        <f t="shared" si="18"/>
        <v>1032480</v>
      </c>
      <c r="U42" s="28"/>
      <c r="V42" s="28"/>
    </row>
    <row r="43" spans="1:22" x14ac:dyDescent="0.25">
      <c r="A43" s="24">
        <v>26</v>
      </c>
      <c r="B43" s="29" t="s">
        <v>84</v>
      </c>
      <c r="C43" s="30">
        <v>2</v>
      </c>
      <c r="D43" s="30">
        <v>1</v>
      </c>
      <c r="E43" s="27">
        <f t="shared" si="19"/>
        <v>50532</v>
      </c>
      <c r="F43" s="27">
        <v>25266</v>
      </c>
      <c r="G43" s="27">
        <v>0</v>
      </c>
      <c r="H43" s="27">
        <v>0</v>
      </c>
      <c r="I43" s="27">
        <f t="shared" si="14"/>
        <v>10106.4</v>
      </c>
      <c r="J43" s="27">
        <v>0</v>
      </c>
      <c r="K43" s="27">
        <v>0</v>
      </c>
      <c r="L43" s="27">
        <f t="shared" si="15"/>
        <v>15159.6</v>
      </c>
      <c r="M43" s="27">
        <v>0</v>
      </c>
      <c r="N43" s="27">
        <v>0</v>
      </c>
      <c r="O43" s="27">
        <v>0</v>
      </c>
      <c r="P43" s="27">
        <v>0</v>
      </c>
      <c r="Q43" s="27">
        <f t="shared" si="16"/>
        <v>37899</v>
      </c>
      <c r="R43" s="27"/>
      <c r="S43" s="27">
        <f t="shared" si="20"/>
        <v>75798</v>
      </c>
      <c r="T43" s="27">
        <f t="shared" si="18"/>
        <v>909576</v>
      </c>
      <c r="U43" s="28"/>
      <c r="V43" s="28"/>
    </row>
    <row r="44" spans="1:22" x14ac:dyDescent="0.25">
      <c r="A44" s="24">
        <v>27</v>
      </c>
      <c r="B44" s="29" t="s">
        <v>223</v>
      </c>
      <c r="C44" s="30">
        <v>2</v>
      </c>
      <c r="D44" s="30">
        <v>1</v>
      </c>
      <c r="E44" s="27">
        <f t="shared" si="19"/>
        <v>35298</v>
      </c>
      <c r="F44" s="27">
        <v>17649</v>
      </c>
      <c r="G44" s="27">
        <v>0</v>
      </c>
      <c r="H44" s="27">
        <v>0</v>
      </c>
      <c r="I44" s="27">
        <f t="shared" si="14"/>
        <v>7059.6</v>
      </c>
      <c r="J44" s="27">
        <v>0</v>
      </c>
      <c r="K44" s="27">
        <v>0</v>
      </c>
      <c r="L44" s="27">
        <f t="shared" si="15"/>
        <v>10589.4</v>
      </c>
      <c r="M44" s="27">
        <v>0</v>
      </c>
      <c r="N44" s="27">
        <v>0</v>
      </c>
      <c r="O44" s="27">
        <v>0</v>
      </c>
      <c r="P44" s="27">
        <v>0</v>
      </c>
      <c r="Q44" s="27">
        <f t="shared" si="16"/>
        <v>26473.5</v>
      </c>
      <c r="R44" s="27"/>
      <c r="S44" s="27">
        <f t="shared" si="20"/>
        <v>52947</v>
      </c>
      <c r="T44" s="27">
        <f t="shared" si="18"/>
        <v>635364</v>
      </c>
      <c r="U44" s="28"/>
      <c r="V44" s="28"/>
    </row>
    <row r="45" spans="1:22" x14ac:dyDescent="0.25">
      <c r="A45" s="24">
        <v>28</v>
      </c>
      <c r="B45" s="29" t="s">
        <v>224</v>
      </c>
      <c r="C45" s="30">
        <v>4</v>
      </c>
      <c r="D45" s="30">
        <v>3</v>
      </c>
      <c r="E45" s="27">
        <f t="shared" si="19"/>
        <v>76480</v>
      </c>
      <c r="F45" s="27">
        <v>19120</v>
      </c>
      <c r="G45" s="27">
        <v>0</v>
      </c>
      <c r="H45" s="27">
        <v>0</v>
      </c>
      <c r="I45" s="27">
        <f t="shared" si="14"/>
        <v>15296</v>
      </c>
      <c r="J45" s="27">
        <v>0</v>
      </c>
      <c r="K45" s="27">
        <v>0</v>
      </c>
      <c r="L45" s="27">
        <f t="shared" si="15"/>
        <v>22944</v>
      </c>
      <c r="M45" s="27">
        <v>0</v>
      </c>
      <c r="N45" s="27">
        <v>0</v>
      </c>
      <c r="O45" s="27">
        <v>0</v>
      </c>
      <c r="P45" s="27">
        <v>0</v>
      </c>
      <c r="Q45" s="27">
        <f t="shared" si="16"/>
        <v>28680</v>
      </c>
      <c r="R45" s="27"/>
      <c r="S45" s="27">
        <f t="shared" si="20"/>
        <v>114720</v>
      </c>
      <c r="T45" s="27">
        <f t="shared" si="18"/>
        <v>1376640</v>
      </c>
      <c r="U45" s="28"/>
      <c r="V45" s="28"/>
    </row>
    <row r="46" spans="1:22" x14ac:dyDescent="0.25">
      <c r="A46" s="24">
        <v>29</v>
      </c>
      <c r="B46" s="29" t="s">
        <v>85</v>
      </c>
      <c r="C46" s="30">
        <v>2</v>
      </c>
      <c r="D46" s="30">
        <v>2</v>
      </c>
      <c r="E46" s="27">
        <f t="shared" si="19"/>
        <v>50532</v>
      </c>
      <c r="F46" s="27">
        <v>25266</v>
      </c>
      <c r="G46" s="27">
        <v>0</v>
      </c>
      <c r="H46" s="27">
        <v>0</v>
      </c>
      <c r="I46" s="27">
        <f t="shared" si="14"/>
        <v>10106.4</v>
      </c>
      <c r="J46" s="27">
        <v>0</v>
      </c>
      <c r="K46" s="27">
        <v>0</v>
      </c>
      <c r="L46" s="27">
        <f t="shared" si="15"/>
        <v>15159.6</v>
      </c>
      <c r="M46" s="27">
        <v>0</v>
      </c>
      <c r="N46" s="27">
        <v>0</v>
      </c>
      <c r="O46" s="27">
        <v>0</v>
      </c>
      <c r="P46" s="27">
        <v>0</v>
      </c>
      <c r="Q46" s="27">
        <f t="shared" si="16"/>
        <v>37899</v>
      </c>
      <c r="R46" s="27"/>
      <c r="S46" s="27">
        <f t="shared" si="20"/>
        <v>75798</v>
      </c>
      <c r="T46" s="27">
        <f>ROUND(S46*12,2)+0.07</f>
        <v>909576.07</v>
      </c>
      <c r="U46" s="28"/>
      <c r="V46" s="28"/>
    </row>
    <row r="47" spans="1:22" x14ac:dyDescent="0.25">
      <c r="A47" s="24">
        <v>30</v>
      </c>
      <c r="B47" s="29" t="s">
        <v>221</v>
      </c>
      <c r="C47" s="30">
        <v>1</v>
      </c>
      <c r="D47" s="30">
        <v>1</v>
      </c>
      <c r="E47" s="27">
        <f t="shared" si="19"/>
        <v>25029</v>
      </c>
      <c r="F47" s="27">
        <v>25029</v>
      </c>
      <c r="G47" s="27">
        <v>0</v>
      </c>
      <c r="H47" s="27">
        <v>0</v>
      </c>
      <c r="I47" s="27">
        <f>(E47+G47)*20%+78.23</f>
        <v>5084.03</v>
      </c>
      <c r="J47" s="27">
        <v>0</v>
      </c>
      <c r="K47" s="27">
        <v>0</v>
      </c>
      <c r="L47" s="27">
        <f t="shared" si="15"/>
        <v>7508.7</v>
      </c>
      <c r="M47" s="27">
        <v>0</v>
      </c>
      <c r="N47" s="27">
        <v>0</v>
      </c>
      <c r="O47" s="27">
        <v>0</v>
      </c>
      <c r="P47" s="27">
        <v>0</v>
      </c>
      <c r="Q47" s="27">
        <f t="shared" si="16"/>
        <v>37621.730000000003</v>
      </c>
      <c r="R47" s="27"/>
      <c r="S47" s="27">
        <f t="shared" si="20"/>
        <v>37621.730000000003</v>
      </c>
      <c r="T47" s="27">
        <f>ROUND(S47*12,2)</f>
        <v>451460.76</v>
      </c>
      <c r="U47" s="28"/>
      <c r="V47" s="28"/>
    </row>
    <row r="48" spans="1:22" x14ac:dyDescent="0.25">
      <c r="A48" s="195" t="s">
        <v>159</v>
      </c>
      <c r="B48" s="196"/>
      <c r="C48" s="33">
        <f>SUM(C29:C47)</f>
        <v>49</v>
      </c>
      <c r="D48" s="33">
        <f>SUM(D29:D47)</f>
        <v>42.3</v>
      </c>
      <c r="E48" s="33">
        <f>SUM(E29:E47)</f>
        <v>1085189</v>
      </c>
      <c r="F48" s="33"/>
      <c r="G48" s="33">
        <f t="shared" ref="G48:M48" si="21">SUM(G29:G47)</f>
        <v>17296.8</v>
      </c>
      <c r="H48" s="33">
        <f t="shared" si="21"/>
        <v>0</v>
      </c>
      <c r="I48" s="33">
        <f t="shared" si="21"/>
        <v>220575.39</v>
      </c>
      <c r="J48" s="33">
        <f t="shared" si="21"/>
        <v>0</v>
      </c>
      <c r="K48" s="33">
        <f t="shared" si="21"/>
        <v>0</v>
      </c>
      <c r="L48" s="33">
        <f t="shared" si="21"/>
        <v>325556.7</v>
      </c>
      <c r="M48" s="33">
        <f t="shared" si="21"/>
        <v>86040</v>
      </c>
      <c r="N48" s="33">
        <f>(E48+G48+H48+I48+J48+K48+L48+M48)*N14</f>
        <v>574219.56999999995</v>
      </c>
      <c r="O48" s="33">
        <f>SUM(O29:O47)</f>
        <v>0</v>
      </c>
      <c r="P48" s="33">
        <f>SUM(P29:P47)</f>
        <v>0</v>
      </c>
      <c r="Q48" s="33">
        <f>SUM(Q29:Q47)</f>
        <v>717499.66</v>
      </c>
      <c r="R48" s="33">
        <f>SUM(R29:R47)</f>
        <v>0</v>
      </c>
      <c r="S48" s="33">
        <f>SUM(S29:S47)</f>
        <v>1734657.89</v>
      </c>
      <c r="T48" s="33">
        <f>ROUND(SUM(T29:T47)+N48*12,2)</f>
        <v>27706529.59</v>
      </c>
      <c r="U48" s="33"/>
      <c r="V48" s="33"/>
    </row>
    <row r="49" spans="1:22" x14ac:dyDescent="0.25">
      <c r="A49" s="200" t="s">
        <v>176</v>
      </c>
      <c r="B49" s="201"/>
      <c r="C49" s="201"/>
      <c r="D49" s="202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x14ac:dyDescent="0.25">
      <c r="A50" s="31">
        <v>31</v>
      </c>
      <c r="B50" s="29" t="s">
        <v>301</v>
      </c>
      <c r="C50" s="30">
        <v>3</v>
      </c>
      <c r="D50" s="30">
        <v>3</v>
      </c>
      <c r="E50" s="27">
        <f t="shared" ref="E50:E56" si="22">C50*F50</f>
        <v>81207</v>
      </c>
      <c r="F50" s="27">
        <v>27069</v>
      </c>
      <c r="G50" s="27">
        <v>0</v>
      </c>
      <c r="H50" s="27">
        <v>0</v>
      </c>
      <c r="I50" s="27">
        <f>(E50+G50)*20%</f>
        <v>16241.4</v>
      </c>
      <c r="J50" s="27">
        <v>0</v>
      </c>
      <c r="K50" s="27">
        <v>0</v>
      </c>
      <c r="L50" s="27">
        <f t="shared" ref="L50:L56" si="23">E50*30%</f>
        <v>24362.1</v>
      </c>
      <c r="M50" s="27">
        <v>0</v>
      </c>
      <c r="N50" s="27">
        <v>0</v>
      </c>
      <c r="O50" s="27">
        <v>0</v>
      </c>
      <c r="P50" s="27">
        <v>0</v>
      </c>
      <c r="Q50" s="27">
        <f t="shared" ref="Q50:Q56" si="24">S50/C50</f>
        <v>40603.5</v>
      </c>
      <c r="R50" s="27"/>
      <c r="S50" s="27">
        <f>E50+G50+I50+L50+K50</f>
        <v>121810.5</v>
      </c>
      <c r="T50" s="27">
        <f t="shared" ref="T50:T56" si="25">ROUND(S50*12,2)</f>
        <v>1461726</v>
      </c>
      <c r="U50" s="28"/>
      <c r="V50" s="28"/>
    </row>
    <row r="51" spans="1:22" x14ac:dyDescent="0.25">
      <c r="A51" s="31">
        <v>32</v>
      </c>
      <c r="B51" s="29" t="s">
        <v>301</v>
      </c>
      <c r="C51" s="30">
        <v>1</v>
      </c>
      <c r="D51" s="30">
        <v>1</v>
      </c>
      <c r="E51" s="27">
        <f t="shared" ref="E51" si="26">C51*F51</f>
        <v>24619</v>
      </c>
      <c r="F51" s="27">
        <v>24619</v>
      </c>
      <c r="G51" s="27">
        <v>0</v>
      </c>
      <c r="H51" s="27">
        <v>0</v>
      </c>
      <c r="I51" s="27">
        <f>(E51+G51)*20%</f>
        <v>4923.8</v>
      </c>
      <c r="J51" s="27">
        <v>0</v>
      </c>
      <c r="K51" s="27">
        <v>0</v>
      </c>
      <c r="L51" s="27">
        <f t="shared" ref="L51" si="27">E51*30%</f>
        <v>7385.7</v>
      </c>
      <c r="M51" s="27">
        <v>0</v>
      </c>
      <c r="N51" s="27">
        <v>0</v>
      </c>
      <c r="O51" s="27">
        <v>0</v>
      </c>
      <c r="P51" s="27">
        <v>0</v>
      </c>
      <c r="Q51" s="27">
        <f t="shared" ref="Q51" si="28">S51/C51</f>
        <v>36928.5</v>
      </c>
      <c r="R51" s="27"/>
      <c r="S51" s="27">
        <f>E51+G51+I51+L51+K51</f>
        <v>36928.5</v>
      </c>
      <c r="T51" s="27">
        <f t="shared" si="25"/>
        <v>443142</v>
      </c>
      <c r="U51" s="28"/>
      <c r="V51" s="28"/>
    </row>
    <row r="52" spans="1:22" ht="25.5" x14ac:dyDescent="0.25">
      <c r="A52" s="31">
        <v>33</v>
      </c>
      <c r="B52" s="29" t="s">
        <v>217</v>
      </c>
      <c r="C52" s="30">
        <v>1</v>
      </c>
      <c r="D52" s="30">
        <v>1</v>
      </c>
      <c r="E52" s="27">
        <f t="shared" si="22"/>
        <v>15595</v>
      </c>
      <c r="F52" s="27">
        <v>15595</v>
      </c>
      <c r="G52" s="27">
        <v>0</v>
      </c>
      <c r="H52" s="27">
        <v>0</v>
      </c>
      <c r="I52" s="27">
        <f t="shared" ref="I52:I65" si="29">(E52+G52)*20%</f>
        <v>3119</v>
      </c>
      <c r="J52" s="27">
        <v>0</v>
      </c>
      <c r="K52" s="27">
        <v>0</v>
      </c>
      <c r="L52" s="27">
        <f t="shared" si="23"/>
        <v>4678.5</v>
      </c>
      <c r="M52" s="27">
        <v>0</v>
      </c>
      <c r="N52" s="27">
        <v>0</v>
      </c>
      <c r="O52" s="27">
        <v>0</v>
      </c>
      <c r="P52" s="27">
        <v>0</v>
      </c>
      <c r="Q52" s="27">
        <f t="shared" si="24"/>
        <v>23392.5</v>
      </c>
      <c r="R52" s="27"/>
      <c r="S52" s="27">
        <f>E52+G52+I52+L52+K52</f>
        <v>23392.5</v>
      </c>
      <c r="T52" s="27">
        <f t="shared" si="25"/>
        <v>280710</v>
      </c>
      <c r="U52" s="28"/>
      <c r="V52" s="28"/>
    </row>
    <row r="53" spans="1:22" x14ac:dyDescent="0.25">
      <c r="A53" s="31">
        <v>34</v>
      </c>
      <c r="B53" s="29" t="s">
        <v>218</v>
      </c>
      <c r="C53" s="30">
        <v>1</v>
      </c>
      <c r="D53" s="30">
        <v>1</v>
      </c>
      <c r="E53" s="27">
        <f t="shared" si="22"/>
        <v>14525</v>
      </c>
      <c r="F53" s="27">
        <v>14525</v>
      </c>
      <c r="G53" s="27">
        <v>0</v>
      </c>
      <c r="H53" s="27">
        <v>0</v>
      </c>
      <c r="I53" s="27">
        <f t="shared" si="29"/>
        <v>2905</v>
      </c>
      <c r="J53" s="27">
        <v>0</v>
      </c>
      <c r="K53" s="27">
        <v>0</v>
      </c>
      <c r="L53" s="27">
        <f t="shared" si="23"/>
        <v>4357.5</v>
      </c>
      <c r="M53" s="27">
        <v>0</v>
      </c>
      <c r="N53" s="27">
        <v>0</v>
      </c>
      <c r="O53" s="27">
        <v>0</v>
      </c>
      <c r="P53" s="27">
        <v>0</v>
      </c>
      <c r="Q53" s="27">
        <f t="shared" si="24"/>
        <v>21787.5</v>
      </c>
      <c r="R53" s="27"/>
      <c r="S53" s="27">
        <f>E53+G53+I53+L53+K53</f>
        <v>21787.5</v>
      </c>
      <c r="T53" s="27">
        <f t="shared" si="25"/>
        <v>261450</v>
      </c>
      <c r="U53" s="28"/>
      <c r="V53" s="28"/>
    </row>
    <row r="54" spans="1:22" x14ac:dyDescent="0.25">
      <c r="A54" s="31">
        <v>35</v>
      </c>
      <c r="B54" s="29" t="s">
        <v>280</v>
      </c>
      <c r="C54" s="30">
        <v>1</v>
      </c>
      <c r="D54" s="30">
        <v>1</v>
      </c>
      <c r="E54" s="27">
        <f t="shared" si="22"/>
        <v>13345</v>
      </c>
      <c r="F54" s="27">
        <v>13345</v>
      </c>
      <c r="G54" s="27">
        <v>0</v>
      </c>
      <c r="H54" s="27">
        <v>0</v>
      </c>
      <c r="I54" s="27">
        <f t="shared" si="29"/>
        <v>2669</v>
      </c>
      <c r="J54" s="27">
        <v>0</v>
      </c>
      <c r="K54" s="27">
        <v>0</v>
      </c>
      <c r="L54" s="27">
        <f t="shared" si="23"/>
        <v>4003.5</v>
      </c>
      <c r="M54" s="27">
        <v>0</v>
      </c>
      <c r="N54" s="27">
        <v>0</v>
      </c>
      <c r="O54" s="27">
        <v>0</v>
      </c>
      <c r="P54" s="27">
        <v>0</v>
      </c>
      <c r="Q54" s="27">
        <f t="shared" si="24"/>
        <v>20017.5</v>
      </c>
      <c r="R54" s="27"/>
      <c r="S54" s="27">
        <f>E54+G54+I54+L54+K54</f>
        <v>20017.5</v>
      </c>
      <c r="T54" s="27">
        <f t="shared" si="25"/>
        <v>240210</v>
      </c>
      <c r="U54" s="28"/>
      <c r="V54" s="28"/>
    </row>
    <row r="55" spans="1:22" x14ac:dyDescent="0.25">
      <c r="A55" s="31">
        <v>36</v>
      </c>
      <c r="B55" s="29" t="s">
        <v>87</v>
      </c>
      <c r="C55" s="30">
        <v>5</v>
      </c>
      <c r="D55" s="30">
        <v>5</v>
      </c>
      <c r="E55" s="27">
        <f t="shared" si="22"/>
        <v>42125</v>
      </c>
      <c r="F55" s="27">
        <v>8425</v>
      </c>
      <c r="G55" s="27">
        <v>0</v>
      </c>
      <c r="H55" s="27">
        <v>0</v>
      </c>
      <c r="I55" s="27">
        <f t="shared" si="29"/>
        <v>8425</v>
      </c>
      <c r="J55" s="27">
        <v>0</v>
      </c>
      <c r="K55" s="27">
        <v>31812.5</v>
      </c>
      <c r="L55" s="27">
        <f t="shared" si="23"/>
        <v>12637.5</v>
      </c>
      <c r="M55" s="27">
        <v>0</v>
      </c>
      <c r="N55" s="27">
        <v>0</v>
      </c>
      <c r="O55" s="27">
        <v>0</v>
      </c>
      <c r="P55" s="27">
        <v>0</v>
      </c>
      <c r="Q55" s="27">
        <f>S55/C55</f>
        <v>19000</v>
      </c>
      <c r="R55" s="27">
        <f>(15000-Q55)*D55</f>
        <v>-20000</v>
      </c>
      <c r="S55" s="27">
        <f t="shared" ref="S55" si="30">E55+G55+I55+L55+K55</f>
        <v>95000</v>
      </c>
      <c r="T55" s="27">
        <f t="shared" si="25"/>
        <v>1140000</v>
      </c>
      <c r="U55" s="28"/>
      <c r="V55" s="28"/>
    </row>
    <row r="56" spans="1:22" x14ac:dyDescent="0.25">
      <c r="A56" s="31">
        <v>37</v>
      </c>
      <c r="B56" s="29" t="s">
        <v>88</v>
      </c>
      <c r="C56" s="30">
        <v>1</v>
      </c>
      <c r="D56" s="30">
        <v>1</v>
      </c>
      <c r="E56" s="27">
        <f t="shared" si="22"/>
        <v>13393</v>
      </c>
      <c r="F56" s="27">
        <v>13393</v>
      </c>
      <c r="G56" s="27">
        <v>0</v>
      </c>
      <c r="H56" s="27">
        <v>0</v>
      </c>
      <c r="I56" s="27">
        <f t="shared" si="29"/>
        <v>2678.6</v>
      </c>
      <c r="J56" s="27">
        <v>0</v>
      </c>
      <c r="K56" s="27">
        <v>0</v>
      </c>
      <c r="L56" s="27">
        <f t="shared" si="23"/>
        <v>4017.9</v>
      </c>
      <c r="M56" s="27">
        <v>0</v>
      </c>
      <c r="N56" s="27">
        <v>0</v>
      </c>
      <c r="O56" s="27">
        <v>0</v>
      </c>
      <c r="P56" s="27">
        <v>0</v>
      </c>
      <c r="Q56" s="27">
        <f t="shared" si="24"/>
        <v>20089.5</v>
      </c>
      <c r="R56" s="27"/>
      <c r="S56" s="27">
        <f>E56+G56+I56+L56</f>
        <v>20089.5</v>
      </c>
      <c r="T56" s="27">
        <f t="shared" si="25"/>
        <v>241074</v>
      </c>
      <c r="U56" s="28"/>
      <c r="V56" s="28"/>
    </row>
    <row r="57" spans="1:22" x14ac:dyDescent="0.25">
      <c r="A57" s="31"/>
      <c r="B57" s="35" t="s">
        <v>159</v>
      </c>
      <c r="C57" s="32">
        <f>SUM(C50:C56)</f>
        <v>13</v>
      </c>
      <c r="D57" s="32">
        <f>SUM(D50:D56)</f>
        <v>13</v>
      </c>
      <c r="E57" s="32">
        <f>SUM(E50:E56)</f>
        <v>204809</v>
      </c>
      <c r="F57" s="32"/>
      <c r="G57" s="32">
        <f t="shared" ref="G57:M57" si="31">SUM(G50:G56)</f>
        <v>0</v>
      </c>
      <c r="H57" s="32">
        <f t="shared" si="31"/>
        <v>0</v>
      </c>
      <c r="I57" s="27">
        <f t="shared" si="31"/>
        <v>40961.800000000003</v>
      </c>
      <c r="J57" s="32">
        <f t="shared" si="31"/>
        <v>0</v>
      </c>
      <c r="K57" s="32">
        <f t="shared" si="31"/>
        <v>31812.5</v>
      </c>
      <c r="L57" s="32">
        <f t="shared" si="31"/>
        <v>61442.7</v>
      </c>
      <c r="M57" s="32">
        <f t="shared" si="31"/>
        <v>0</v>
      </c>
      <c r="N57" s="32">
        <f>(E57+G57+H57+I57+J57+K57+L57)*N14</f>
        <v>112226.95</v>
      </c>
      <c r="O57" s="32">
        <f>SUM(O50:O56)</f>
        <v>0</v>
      </c>
      <c r="P57" s="32">
        <f>SUM(P50:P56)</f>
        <v>0</v>
      </c>
      <c r="Q57" s="32">
        <f>SUM(Q50:Q56)</f>
        <v>181819</v>
      </c>
      <c r="R57" s="32">
        <f>SUM(R50:R56)</f>
        <v>-20000</v>
      </c>
      <c r="S57" s="32">
        <f>SUM(S50:S56)</f>
        <v>339026</v>
      </c>
      <c r="T57" s="32">
        <f>ROUND(SUM(T50:T56)+N57*12,2)</f>
        <v>5415035.4000000004</v>
      </c>
      <c r="U57" s="32"/>
      <c r="V57" s="32"/>
    </row>
    <row r="58" spans="1:22" x14ac:dyDescent="0.25">
      <c r="A58" s="197" t="s">
        <v>177</v>
      </c>
      <c r="B58" s="198"/>
      <c r="C58" s="198"/>
      <c r="D58" s="199"/>
      <c r="E58" s="27"/>
      <c r="F58" s="27"/>
      <c r="G58" s="27"/>
      <c r="H58" s="27"/>
      <c r="I58" s="27">
        <f t="shared" si="29"/>
        <v>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8"/>
      <c r="V58" s="28"/>
    </row>
    <row r="59" spans="1:22" x14ac:dyDescent="0.25">
      <c r="A59" s="24">
        <v>38</v>
      </c>
      <c r="B59" s="29" t="s">
        <v>225</v>
      </c>
      <c r="C59" s="30">
        <v>2</v>
      </c>
      <c r="D59" s="30">
        <v>2</v>
      </c>
      <c r="E59" s="27">
        <f t="shared" ref="E59:E65" si="32">C59*F59</f>
        <v>20160</v>
      </c>
      <c r="F59" s="27">
        <v>10080</v>
      </c>
      <c r="G59" s="27">
        <v>0</v>
      </c>
      <c r="H59" s="27">
        <v>0</v>
      </c>
      <c r="I59" s="27">
        <f t="shared" si="29"/>
        <v>4032</v>
      </c>
      <c r="J59" s="27">
        <v>0</v>
      </c>
      <c r="K59" s="27">
        <v>7760</v>
      </c>
      <c r="L59" s="27">
        <f t="shared" ref="L59:L65" si="33">E59*30%</f>
        <v>6048</v>
      </c>
      <c r="M59" s="27">
        <v>0</v>
      </c>
      <c r="N59" s="27">
        <v>0</v>
      </c>
      <c r="O59" s="27">
        <v>0</v>
      </c>
      <c r="P59" s="27">
        <v>0</v>
      </c>
      <c r="Q59" s="27">
        <f>S59/C59</f>
        <v>19000</v>
      </c>
      <c r="R59" s="27">
        <f t="shared" ref="R59:R61" si="34">(15000-Q59)*D59</f>
        <v>-8000</v>
      </c>
      <c r="S59" s="27">
        <f>E59+G59+I59+L59+K59+J59</f>
        <v>38000</v>
      </c>
      <c r="T59" s="27">
        <f t="shared" ref="T59:T65" si="35">ROUND(S59*12,2)</f>
        <v>456000</v>
      </c>
      <c r="U59" s="28"/>
      <c r="V59" s="28"/>
    </row>
    <row r="60" spans="1:22" ht="38.25" x14ac:dyDescent="0.25">
      <c r="A60" s="24">
        <v>39</v>
      </c>
      <c r="B60" s="29" t="s">
        <v>284</v>
      </c>
      <c r="C60" s="30">
        <v>2</v>
      </c>
      <c r="D60" s="30">
        <v>2</v>
      </c>
      <c r="E60" s="27">
        <f t="shared" si="32"/>
        <v>20160</v>
      </c>
      <c r="F60" s="27">
        <v>10080</v>
      </c>
      <c r="G60" s="27">
        <v>0</v>
      </c>
      <c r="H60" s="27">
        <v>0</v>
      </c>
      <c r="I60" s="27">
        <f t="shared" si="29"/>
        <v>4032</v>
      </c>
      <c r="J60" s="27">
        <v>0</v>
      </c>
      <c r="K60" s="27">
        <v>7760</v>
      </c>
      <c r="L60" s="27">
        <f t="shared" si="33"/>
        <v>6048</v>
      </c>
      <c r="M60" s="27">
        <v>0</v>
      </c>
      <c r="N60" s="27">
        <v>0</v>
      </c>
      <c r="O60" s="27">
        <v>0</v>
      </c>
      <c r="P60" s="27">
        <v>0</v>
      </c>
      <c r="Q60" s="27">
        <f t="shared" ref="Q60:Q61" si="36">S60/C60</f>
        <v>19000</v>
      </c>
      <c r="R60" s="27">
        <f t="shared" si="34"/>
        <v>-8000</v>
      </c>
      <c r="S60" s="27">
        <f t="shared" ref="S60:S65" si="37">E60+G60+I60+L60+K60+J60</f>
        <v>38000</v>
      </c>
      <c r="T60" s="27">
        <f t="shared" si="35"/>
        <v>456000</v>
      </c>
      <c r="U60" s="28"/>
      <c r="V60" s="28"/>
    </row>
    <row r="61" spans="1:22" x14ac:dyDescent="0.25">
      <c r="A61" s="24">
        <v>40</v>
      </c>
      <c r="B61" s="36" t="s">
        <v>89</v>
      </c>
      <c r="C61" s="30">
        <v>6</v>
      </c>
      <c r="D61" s="30">
        <v>5</v>
      </c>
      <c r="E61" s="27">
        <f t="shared" si="32"/>
        <v>48138</v>
      </c>
      <c r="F61" s="27">
        <v>8023</v>
      </c>
      <c r="G61" s="27">
        <v>0</v>
      </c>
      <c r="H61" s="27">
        <v>0</v>
      </c>
      <c r="I61" s="27">
        <f t="shared" si="29"/>
        <v>9627.6</v>
      </c>
      <c r="J61" s="27">
        <v>8974.2999999999993</v>
      </c>
      <c r="K61" s="27">
        <v>32818.699999999997</v>
      </c>
      <c r="L61" s="27">
        <f t="shared" si="33"/>
        <v>14441.4</v>
      </c>
      <c r="M61" s="27">
        <v>0</v>
      </c>
      <c r="N61" s="27">
        <v>0</v>
      </c>
      <c r="O61" s="27">
        <v>0</v>
      </c>
      <c r="P61" s="27">
        <v>0</v>
      </c>
      <c r="Q61" s="27">
        <f t="shared" si="36"/>
        <v>19000</v>
      </c>
      <c r="R61" s="27">
        <f t="shared" si="34"/>
        <v>-20000</v>
      </c>
      <c r="S61" s="27">
        <f t="shared" si="37"/>
        <v>114000</v>
      </c>
      <c r="T61" s="27">
        <f t="shared" si="35"/>
        <v>1368000</v>
      </c>
      <c r="U61" s="28"/>
      <c r="V61" s="28"/>
    </row>
    <row r="62" spans="1:22" ht="25.5" x14ac:dyDescent="0.25">
      <c r="A62" s="24">
        <v>41</v>
      </c>
      <c r="B62" s="36" t="s">
        <v>90</v>
      </c>
      <c r="C62" s="30">
        <v>11</v>
      </c>
      <c r="D62" s="30">
        <v>11</v>
      </c>
      <c r="E62" s="27">
        <f t="shared" si="32"/>
        <v>84766</v>
      </c>
      <c r="F62" s="27">
        <v>7706</v>
      </c>
      <c r="G62" s="27">
        <v>0</v>
      </c>
      <c r="H62" s="27">
        <v>0</v>
      </c>
      <c r="I62" s="27">
        <f t="shared" si="29"/>
        <v>16953.2</v>
      </c>
      <c r="J62" s="27">
        <v>0</v>
      </c>
      <c r="K62" s="27">
        <v>81851</v>
      </c>
      <c r="L62" s="27">
        <f t="shared" si="33"/>
        <v>25429.8</v>
      </c>
      <c r="M62" s="27">
        <v>0</v>
      </c>
      <c r="N62" s="27">
        <v>0</v>
      </c>
      <c r="O62" s="27">
        <v>0</v>
      </c>
      <c r="P62" s="27">
        <v>0</v>
      </c>
      <c r="Q62" s="27">
        <f>S62/C62</f>
        <v>19000</v>
      </c>
      <c r="R62" s="27">
        <f>(15000-Q62)*D62</f>
        <v>-44000</v>
      </c>
      <c r="S62" s="27">
        <f>E62+G62+I62+L62+K62+J62</f>
        <v>209000</v>
      </c>
      <c r="T62" s="27">
        <f t="shared" si="35"/>
        <v>2508000</v>
      </c>
      <c r="U62" s="28"/>
      <c r="V62" s="28"/>
    </row>
    <row r="63" spans="1:22" ht="38.25" x14ac:dyDescent="0.25">
      <c r="A63" s="24">
        <v>42</v>
      </c>
      <c r="B63" s="36" t="s">
        <v>215</v>
      </c>
      <c r="C63" s="30">
        <v>5</v>
      </c>
      <c r="D63" s="30">
        <v>4</v>
      </c>
      <c r="E63" s="27">
        <f t="shared" si="32"/>
        <v>42125</v>
      </c>
      <c r="F63" s="27">
        <v>8425</v>
      </c>
      <c r="G63" s="27">
        <v>0</v>
      </c>
      <c r="H63" s="27">
        <v>0</v>
      </c>
      <c r="I63" s="27">
        <f t="shared" si="29"/>
        <v>8425</v>
      </c>
      <c r="J63" s="27">
        <v>0</v>
      </c>
      <c r="K63" s="27">
        <v>31812.5</v>
      </c>
      <c r="L63" s="27">
        <f t="shared" si="33"/>
        <v>12637.5</v>
      </c>
      <c r="M63" s="27">
        <v>0</v>
      </c>
      <c r="N63" s="27">
        <v>0</v>
      </c>
      <c r="O63" s="27">
        <v>0</v>
      </c>
      <c r="P63" s="27">
        <v>0</v>
      </c>
      <c r="Q63" s="27">
        <f t="shared" ref="Q63:Q65" si="38">S63/C63</f>
        <v>19000</v>
      </c>
      <c r="R63" s="27">
        <f>(15500-Q63)*D63</f>
        <v>-14000</v>
      </c>
      <c r="S63" s="27">
        <f t="shared" si="37"/>
        <v>95000</v>
      </c>
      <c r="T63" s="27">
        <f t="shared" si="35"/>
        <v>1140000</v>
      </c>
      <c r="U63" s="28"/>
      <c r="V63" s="28"/>
    </row>
    <row r="64" spans="1:22" x14ac:dyDescent="0.25">
      <c r="A64" s="24">
        <v>43</v>
      </c>
      <c r="B64" s="36" t="s">
        <v>60</v>
      </c>
      <c r="C64" s="30">
        <v>1</v>
      </c>
      <c r="D64" s="30">
        <v>1</v>
      </c>
      <c r="E64" s="27">
        <f t="shared" si="32"/>
        <v>7706</v>
      </c>
      <c r="F64" s="27">
        <v>7706</v>
      </c>
      <c r="G64" s="27">
        <v>0</v>
      </c>
      <c r="H64" s="27">
        <v>0</v>
      </c>
      <c r="I64" s="27">
        <f>(E64+G64)*20%+53.93</f>
        <v>1595.13</v>
      </c>
      <c r="J64" s="27">
        <v>0</v>
      </c>
      <c r="K64" s="27">
        <v>7387.07</v>
      </c>
      <c r="L64" s="27">
        <f t="shared" si="33"/>
        <v>2311.8000000000002</v>
      </c>
      <c r="M64" s="27">
        <v>0</v>
      </c>
      <c r="N64" s="27">
        <v>0</v>
      </c>
      <c r="O64" s="27">
        <v>0</v>
      </c>
      <c r="P64" s="27">
        <v>0</v>
      </c>
      <c r="Q64" s="27">
        <f t="shared" si="38"/>
        <v>19000</v>
      </c>
      <c r="R64" s="27">
        <f>(15500-Q64)*D64</f>
        <v>-3500</v>
      </c>
      <c r="S64" s="27">
        <f t="shared" si="37"/>
        <v>19000</v>
      </c>
      <c r="T64" s="27">
        <f>ROUND(S64*12,2)</f>
        <v>228000</v>
      </c>
      <c r="U64" s="28"/>
      <c r="V64" s="28"/>
    </row>
    <row r="65" spans="1:22" x14ac:dyDescent="0.25">
      <c r="A65" s="24">
        <v>44</v>
      </c>
      <c r="B65" s="36" t="s">
        <v>91</v>
      </c>
      <c r="C65" s="30">
        <v>5</v>
      </c>
      <c r="D65" s="30">
        <v>4.5</v>
      </c>
      <c r="E65" s="27">
        <f t="shared" si="32"/>
        <v>38530</v>
      </c>
      <c r="F65" s="27">
        <v>7706</v>
      </c>
      <c r="G65" s="27">
        <v>0</v>
      </c>
      <c r="H65" s="27">
        <v>0</v>
      </c>
      <c r="I65" s="27">
        <f t="shared" si="29"/>
        <v>7706</v>
      </c>
      <c r="J65" s="27">
        <v>0</v>
      </c>
      <c r="K65" s="27">
        <v>37205</v>
      </c>
      <c r="L65" s="27">
        <f t="shared" si="33"/>
        <v>11559</v>
      </c>
      <c r="M65" s="27">
        <v>0</v>
      </c>
      <c r="N65" s="27">
        <v>0</v>
      </c>
      <c r="O65" s="27">
        <v>0</v>
      </c>
      <c r="P65" s="27">
        <v>0</v>
      </c>
      <c r="Q65" s="27">
        <f t="shared" si="38"/>
        <v>19000</v>
      </c>
      <c r="R65" s="27">
        <f>(15500-Q65)*D65</f>
        <v>-15750</v>
      </c>
      <c r="S65" s="27">
        <f t="shared" si="37"/>
        <v>95000</v>
      </c>
      <c r="T65" s="27">
        <f t="shared" si="35"/>
        <v>1140000</v>
      </c>
      <c r="U65" s="28"/>
      <c r="V65" s="28"/>
    </row>
    <row r="66" spans="1:22" x14ac:dyDescent="0.25">
      <c r="A66" s="24"/>
      <c r="B66" s="36" t="s">
        <v>159</v>
      </c>
      <c r="C66" s="32">
        <f>SUM(C59:C65)</f>
        <v>32</v>
      </c>
      <c r="D66" s="32">
        <f>SUM(D59:D65)</f>
        <v>29.5</v>
      </c>
      <c r="E66" s="32">
        <f>SUM(E59:E65)</f>
        <v>261585</v>
      </c>
      <c r="F66" s="32"/>
      <c r="G66" s="32">
        <f t="shared" ref="G66:M66" si="39">SUM(G59:G65)</f>
        <v>0</v>
      </c>
      <c r="H66" s="32">
        <f t="shared" si="39"/>
        <v>0</v>
      </c>
      <c r="I66" s="32">
        <f t="shared" si="39"/>
        <v>52370.93</v>
      </c>
      <c r="J66" s="32">
        <f t="shared" si="39"/>
        <v>8974.2999999999993</v>
      </c>
      <c r="K66" s="32">
        <f t="shared" si="39"/>
        <v>206594.27</v>
      </c>
      <c r="L66" s="32">
        <f t="shared" si="39"/>
        <v>78475.5</v>
      </c>
      <c r="M66" s="32">
        <f t="shared" si="39"/>
        <v>0</v>
      </c>
      <c r="N66" s="32">
        <f>(E66+G66+H66+I66+J66+K66+L66)*N14</f>
        <v>201264.76</v>
      </c>
      <c r="O66" s="32">
        <f>SUM(O59:O65)</f>
        <v>0</v>
      </c>
      <c r="P66" s="32">
        <f>SUM(P59:P65)</f>
        <v>0</v>
      </c>
      <c r="Q66" s="32">
        <f>SUM(Q59:Q65)</f>
        <v>133000</v>
      </c>
      <c r="R66" s="32">
        <f>SUM(R59:R65)</f>
        <v>-113250</v>
      </c>
      <c r="S66" s="32">
        <f>SUM(S59:S65)</f>
        <v>608000</v>
      </c>
      <c r="T66" s="32">
        <f>ROUND(SUM(T59:T65)+N66*12,2)</f>
        <v>9711177.1199999992</v>
      </c>
      <c r="U66" s="32"/>
      <c r="V66" s="32"/>
    </row>
    <row r="67" spans="1:22" x14ac:dyDescent="0.25">
      <c r="A67" s="193" t="s">
        <v>4</v>
      </c>
      <c r="B67" s="194"/>
      <c r="C67" s="37">
        <f>C27+C48+C57+C66</f>
        <v>112</v>
      </c>
      <c r="D67" s="37">
        <f>D27+D48+D57+D66</f>
        <v>100.8</v>
      </c>
      <c r="E67" s="37">
        <f>E27+E48+E57+E66</f>
        <v>1893030</v>
      </c>
      <c r="F67" s="37"/>
      <c r="G67" s="37">
        <f t="shared" ref="G67:T67" si="40">G27+G48+G57+G66</f>
        <v>17296.8</v>
      </c>
      <c r="H67" s="37">
        <f t="shared" si="40"/>
        <v>0</v>
      </c>
      <c r="I67" s="37">
        <f t="shared" si="40"/>
        <v>382197.52</v>
      </c>
      <c r="J67" s="37">
        <f t="shared" si="40"/>
        <v>8974.2999999999993</v>
      </c>
      <c r="K67" s="37">
        <f t="shared" si="40"/>
        <v>248580.76</v>
      </c>
      <c r="L67" s="37">
        <f t="shared" si="40"/>
        <v>567909</v>
      </c>
      <c r="M67" s="37">
        <f t="shared" si="40"/>
        <v>86040</v>
      </c>
      <c r="N67" s="37">
        <f t="shared" si="40"/>
        <v>1060621.7</v>
      </c>
      <c r="O67" s="37">
        <f t="shared" si="40"/>
        <v>0</v>
      </c>
      <c r="P67" s="37">
        <f t="shared" si="40"/>
        <v>0</v>
      </c>
      <c r="Q67" s="37">
        <f t="shared" si="40"/>
        <v>1254375.6599999999</v>
      </c>
      <c r="R67" s="37">
        <f t="shared" si="40"/>
        <v>-133250</v>
      </c>
      <c r="S67" s="37">
        <f t="shared" si="40"/>
        <v>3055063.89</v>
      </c>
      <c r="T67" s="37">
        <f t="shared" si="40"/>
        <v>51175801.030000001</v>
      </c>
      <c r="U67" s="37">
        <v>50636187.729999997</v>
      </c>
      <c r="V67" s="37"/>
    </row>
    <row r="69" spans="1:22" x14ac:dyDescent="0.25">
      <c r="T69" s="10"/>
    </row>
    <row r="70" spans="1:22" x14ac:dyDescent="0.25">
      <c r="T70" s="10">
        <v>51175801.030000001</v>
      </c>
    </row>
    <row r="71" spans="1:22" x14ac:dyDescent="0.25">
      <c r="T71" s="10">
        <f>T67-T70</f>
        <v>0</v>
      </c>
    </row>
  </sheetData>
  <mergeCells count="22">
    <mergeCell ref="A67:B67"/>
    <mergeCell ref="A27:B27"/>
    <mergeCell ref="A28:D28"/>
    <mergeCell ref="A48:B48"/>
    <mergeCell ref="A49:D49"/>
    <mergeCell ref="A58:D58"/>
    <mergeCell ref="A9:V9"/>
    <mergeCell ref="A10:A12"/>
    <mergeCell ref="B10:B12"/>
    <mergeCell ref="C10:D11"/>
    <mergeCell ref="E10:N10"/>
    <mergeCell ref="O10:P11"/>
    <mergeCell ref="S10:S11"/>
    <mergeCell ref="T10:T12"/>
    <mergeCell ref="U10:V11"/>
    <mergeCell ref="E11:N11"/>
    <mergeCell ref="Q11:Q12"/>
    <mergeCell ref="U1:V1"/>
    <mergeCell ref="A2:V2"/>
    <mergeCell ref="A3:V3"/>
    <mergeCell ref="A4:P4"/>
    <mergeCell ref="A5:H5"/>
  </mergeCells>
  <pageMargins left="0.31496062992125984" right="0.11811023622047245" top="0.35433070866141736" bottom="0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78"/>
  <sheetViews>
    <sheetView view="pageBreakPreview" topLeftCell="A137" zoomScaleNormal="100" zoomScaleSheetLayoutView="100" zoomScalePageLayoutView="70" workbookViewId="0">
      <selection activeCell="A159" sqref="A159:L159"/>
    </sheetView>
  </sheetViews>
  <sheetFormatPr defaultColWidth="9.140625" defaultRowHeight="15" x14ac:dyDescent="0.25"/>
  <cols>
    <col min="1" max="1" width="5.140625" customWidth="1"/>
    <col min="2" max="2" width="24.7109375" customWidth="1"/>
    <col min="3" max="3" width="12.140625" customWidth="1"/>
    <col min="4" max="4" width="10.42578125" customWidth="1"/>
    <col min="5" max="5" width="13.85546875" customWidth="1"/>
    <col min="6" max="6" width="12.42578125" customWidth="1"/>
    <col min="7" max="7" width="6.7109375" customWidth="1"/>
    <col min="8" max="8" width="6.85546875" customWidth="1"/>
    <col min="9" max="9" width="9.85546875" customWidth="1"/>
    <col min="10" max="10" width="9" customWidth="1"/>
    <col min="11" max="11" width="7" customWidth="1"/>
    <col min="12" max="12" width="10.5703125" customWidth="1"/>
    <col min="13" max="13" width="15.42578125" style="10" customWidth="1"/>
    <col min="14" max="14" width="9.7109375" style="10" customWidth="1"/>
    <col min="15" max="15" width="13" style="10" customWidth="1"/>
    <col min="16" max="16" width="12.5703125" style="10" bestFit="1" customWidth="1"/>
    <col min="17" max="32" width="9.140625" style="10"/>
  </cols>
  <sheetData>
    <row r="1" spans="1:32" s="111" customFormat="1" ht="25.5" customHeight="1" x14ac:dyDescent="0.25">
      <c r="A1" s="172" t="s">
        <v>179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2" s="111" customFormat="1" ht="13.9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 s="111" customFormat="1" ht="16.5" customHeight="1" x14ac:dyDescent="0.25">
      <c r="A3" s="188" t="s">
        <v>5</v>
      </c>
      <c r="B3" s="188" t="s">
        <v>6</v>
      </c>
      <c r="C3" s="188" t="s">
        <v>154</v>
      </c>
      <c r="D3" s="188" t="s">
        <v>153</v>
      </c>
      <c r="E3" s="188" t="s">
        <v>8</v>
      </c>
      <c r="F3" s="188" t="s">
        <v>9</v>
      </c>
      <c r="G3" s="179" t="s">
        <v>118</v>
      </c>
      <c r="H3" s="228"/>
      <c r="I3" s="228"/>
      <c r="J3" s="228"/>
      <c r="K3" s="228"/>
      <c r="L3" s="228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1:32" s="111" customFormat="1" ht="62.25" customHeight="1" x14ac:dyDescent="0.25">
      <c r="A4" s="192"/>
      <c r="B4" s="192"/>
      <c r="C4" s="192"/>
      <c r="D4" s="192"/>
      <c r="E4" s="192"/>
      <c r="F4" s="192"/>
      <c r="G4" s="214" t="s">
        <v>126</v>
      </c>
      <c r="H4" s="215"/>
      <c r="I4" s="216"/>
      <c r="J4" s="214" t="s">
        <v>127</v>
      </c>
      <c r="K4" s="215"/>
      <c r="L4" s="216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s="136" customFormat="1" ht="9.75" customHeight="1" x14ac:dyDescent="0.25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257">
        <v>7</v>
      </c>
      <c r="H5" s="258"/>
      <c r="I5" s="259"/>
      <c r="J5" s="257">
        <v>8</v>
      </c>
      <c r="K5" s="258"/>
      <c r="L5" s="259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</row>
    <row r="6" spans="1:32" s="119" customFormat="1" ht="17.25" customHeight="1" x14ac:dyDescent="0.25">
      <c r="A6" s="11">
        <v>1</v>
      </c>
      <c r="B6" s="43" t="s">
        <v>163</v>
      </c>
      <c r="C6" s="44">
        <v>0</v>
      </c>
      <c r="D6" s="11">
        <v>0</v>
      </c>
      <c r="E6" s="11">
        <v>0</v>
      </c>
      <c r="F6" s="44">
        <f>C6*E6</f>
        <v>0</v>
      </c>
      <c r="G6" s="271">
        <v>0</v>
      </c>
      <c r="H6" s="215"/>
      <c r="I6" s="216"/>
      <c r="J6" s="272">
        <f>F6</f>
        <v>0</v>
      </c>
      <c r="K6" s="273"/>
      <c r="L6" s="274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</row>
    <row r="7" spans="1:32" s="111" customFormat="1" x14ac:dyDescent="0.25">
      <c r="A7" s="214" t="s">
        <v>12</v>
      </c>
      <c r="B7" s="223"/>
      <c r="C7" s="11" t="s">
        <v>13</v>
      </c>
      <c r="D7" s="11" t="s">
        <v>13</v>
      </c>
      <c r="E7" s="11" t="s">
        <v>13</v>
      </c>
      <c r="F7" s="45">
        <f>SUM(F6:F6)</f>
        <v>0</v>
      </c>
      <c r="G7" s="275">
        <f>SUM(G6)</f>
        <v>0</v>
      </c>
      <c r="H7" s="236"/>
      <c r="I7" s="237"/>
      <c r="J7" s="235">
        <f t="shared" ref="J7" si="0">F7</f>
        <v>0</v>
      </c>
      <c r="K7" s="276"/>
      <c r="L7" s="277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</row>
    <row r="8" spans="1:32" s="103" customFormat="1" ht="12.75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</row>
    <row r="9" spans="1:32" s="103" customFormat="1" x14ac:dyDescent="0.25">
      <c r="A9" s="52" t="s">
        <v>102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</row>
    <row r="10" spans="1:32" s="103" customFormat="1" ht="13.9" customHeight="1" x14ac:dyDescent="0.25">
      <c r="A10" s="172" t="s">
        <v>180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</row>
    <row r="11" spans="1:32" s="103" customFormat="1" ht="12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</row>
    <row r="12" spans="1:32" s="103" customFormat="1" ht="17.25" customHeight="1" x14ac:dyDescent="0.25">
      <c r="A12" s="188" t="s">
        <v>5</v>
      </c>
      <c r="B12" s="188" t="s">
        <v>6</v>
      </c>
      <c r="C12" s="188" t="s">
        <v>10</v>
      </c>
      <c r="D12" s="188" t="s">
        <v>11</v>
      </c>
      <c r="E12" s="188" t="s">
        <v>156</v>
      </c>
      <c r="F12" s="188" t="s">
        <v>9</v>
      </c>
      <c r="G12" s="179" t="s">
        <v>118</v>
      </c>
      <c r="H12" s="228"/>
      <c r="I12" s="228"/>
      <c r="J12" s="228"/>
      <c r="K12" s="228"/>
      <c r="L12" s="228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</row>
    <row r="13" spans="1:32" s="103" customFormat="1" ht="48.6" customHeight="1" x14ac:dyDescent="0.25">
      <c r="A13" s="192"/>
      <c r="B13" s="192"/>
      <c r="C13" s="192"/>
      <c r="D13" s="192"/>
      <c r="E13" s="192"/>
      <c r="F13" s="192"/>
      <c r="G13" s="214" t="s">
        <v>126</v>
      </c>
      <c r="H13" s="215"/>
      <c r="I13" s="216"/>
      <c r="J13" s="214" t="s">
        <v>127</v>
      </c>
      <c r="K13" s="215"/>
      <c r="L13" s="216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</row>
    <row r="14" spans="1:32" s="138" customFormat="1" ht="11.25" customHeight="1" x14ac:dyDescent="0.2">
      <c r="A14" s="47">
        <v>1</v>
      </c>
      <c r="B14" s="47">
        <v>2</v>
      </c>
      <c r="C14" s="47">
        <v>3</v>
      </c>
      <c r="D14" s="47">
        <v>4</v>
      </c>
      <c r="E14" s="47">
        <v>5</v>
      </c>
      <c r="F14" s="47">
        <v>6</v>
      </c>
      <c r="G14" s="257">
        <v>7</v>
      </c>
      <c r="H14" s="258"/>
      <c r="I14" s="259"/>
      <c r="J14" s="257">
        <v>8</v>
      </c>
      <c r="K14" s="258"/>
      <c r="L14" s="259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s="103" customFormat="1" x14ac:dyDescent="0.25">
      <c r="A15" s="50"/>
      <c r="B15" s="43"/>
      <c r="C15" s="11"/>
      <c r="D15" s="11"/>
      <c r="E15" s="139"/>
      <c r="F15" s="44">
        <v>0</v>
      </c>
      <c r="G15" s="272">
        <v>0</v>
      </c>
      <c r="H15" s="215"/>
      <c r="I15" s="216"/>
      <c r="J15" s="272">
        <f>F15</f>
        <v>0</v>
      </c>
      <c r="K15" s="215"/>
      <c r="L15" s="216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</row>
    <row r="16" spans="1:32" s="103" customFormat="1" x14ac:dyDescent="0.25">
      <c r="A16" s="214" t="s">
        <v>12</v>
      </c>
      <c r="B16" s="223"/>
      <c r="C16" s="11" t="s">
        <v>13</v>
      </c>
      <c r="D16" s="11" t="s">
        <v>13</v>
      </c>
      <c r="E16" s="11" t="s">
        <v>13</v>
      </c>
      <c r="F16" s="45">
        <f>SUM(F15:F15)</f>
        <v>0</v>
      </c>
      <c r="G16" s="235">
        <f>SUM(G15)</f>
        <v>0</v>
      </c>
      <c r="H16" s="236"/>
      <c r="I16" s="237"/>
      <c r="J16" s="235">
        <f>F16</f>
        <v>0</v>
      </c>
      <c r="K16" s="236"/>
      <c r="L16" s="237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</row>
    <row r="17" spans="1:32" s="103" customFormat="1" x14ac:dyDescent="0.25">
      <c r="A17" s="38"/>
      <c r="B17" s="38"/>
      <c r="C17" s="38"/>
      <c r="D17" s="38"/>
      <c r="E17" s="38"/>
      <c r="F17" s="51"/>
      <c r="G17" s="51"/>
      <c r="H17" s="51"/>
      <c r="I17" s="51"/>
      <c r="J17" s="51"/>
      <c r="K17" s="51"/>
      <c r="L17" s="51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</row>
    <row r="18" spans="1:32" s="103" customFormat="1" x14ac:dyDescent="0.25">
      <c r="A18" s="52" t="s">
        <v>103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</row>
    <row r="19" spans="1:32" s="111" customFormat="1" ht="31.5" customHeight="1" x14ac:dyDescent="0.25">
      <c r="A19" s="172" t="s">
        <v>181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1:32" s="103" customFormat="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</row>
    <row r="21" spans="1:32" s="103" customFormat="1" ht="18.75" customHeight="1" x14ac:dyDescent="0.25">
      <c r="A21" s="188" t="s">
        <v>5</v>
      </c>
      <c r="B21" s="262" t="s">
        <v>182</v>
      </c>
      <c r="C21" s="263"/>
      <c r="D21" s="264"/>
      <c r="E21" s="188" t="s">
        <v>14</v>
      </c>
      <c r="F21" s="188" t="s">
        <v>15</v>
      </c>
      <c r="G21" s="179" t="s">
        <v>118</v>
      </c>
      <c r="H21" s="228"/>
      <c r="I21" s="228"/>
      <c r="J21" s="228"/>
      <c r="K21" s="228"/>
      <c r="L21" s="228"/>
      <c r="M21" s="130"/>
      <c r="N21" s="130"/>
      <c r="O21" s="130"/>
      <c r="P21" s="130"/>
      <c r="Q21" s="130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</row>
    <row r="22" spans="1:32" s="103" customFormat="1" ht="50.25" customHeight="1" x14ac:dyDescent="0.25">
      <c r="A22" s="192"/>
      <c r="B22" s="265"/>
      <c r="C22" s="266"/>
      <c r="D22" s="267"/>
      <c r="E22" s="192"/>
      <c r="F22" s="192"/>
      <c r="G22" s="214" t="s">
        <v>126</v>
      </c>
      <c r="H22" s="215"/>
      <c r="I22" s="216"/>
      <c r="J22" s="214" t="s">
        <v>127</v>
      </c>
      <c r="K22" s="215"/>
      <c r="L22" s="216"/>
      <c r="M22" s="130"/>
      <c r="N22" s="130"/>
      <c r="O22" s="130"/>
      <c r="P22" s="130"/>
      <c r="Q22" s="130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</row>
    <row r="23" spans="1:32" s="138" customFormat="1" ht="16.5" customHeight="1" x14ac:dyDescent="0.2">
      <c r="A23" s="53">
        <v>1</v>
      </c>
      <c r="B23" s="253">
        <v>2</v>
      </c>
      <c r="C23" s="260"/>
      <c r="D23" s="261"/>
      <c r="E23" s="54">
        <v>3</v>
      </c>
      <c r="F23" s="54">
        <v>4</v>
      </c>
      <c r="G23" s="268">
        <v>5</v>
      </c>
      <c r="H23" s="269"/>
      <c r="I23" s="270"/>
      <c r="J23" s="268">
        <v>6</v>
      </c>
      <c r="K23" s="269"/>
      <c r="L23" s="270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s="103" customFormat="1" ht="27.75" customHeight="1" x14ac:dyDescent="0.25">
      <c r="A24" s="55">
        <v>1</v>
      </c>
      <c r="B24" s="245" t="s">
        <v>183</v>
      </c>
      <c r="C24" s="246"/>
      <c r="D24" s="247"/>
      <c r="E24" s="56" t="s">
        <v>13</v>
      </c>
      <c r="F24" s="56">
        <f>F26+F27+F28</f>
        <v>11214676.23</v>
      </c>
      <c r="G24" s="204">
        <f>G26+G27+G28</f>
        <v>11103072.199999999</v>
      </c>
      <c r="H24" s="205"/>
      <c r="I24" s="206"/>
      <c r="J24" s="204">
        <f>F24</f>
        <v>11214676.23</v>
      </c>
      <c r="K24" s="205"/>
      <c r="L24" s="206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</row>
    <row r="25" spans="1:32" s="103" customFormat="1" ht="11.25" customHeight="1" x14ac:dyDescent="0.25">
      <c r="A25" s="55"/>
      <c r="B25" s="248" t="s">
        <v>3</v>
      </c>
      <c r="C25" s="249"/>
      <c r="D25" s="250"/>
      <c r="E25" s="56"/>
      <c r="F25" s="56"/>
      <c r="G25" s="204"/>
      <c r="H25" s="205"/>
      <c r="I25" s="206"/>
      <c r="J25" s="204"/>
      <c r="K25" s="205"/>
      <c r="L25" s="206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</row>
    <row r="26" spans="1:32" s="103" customFormat="1" x14ac:dyDescent="0.25">
      <c r="A26" s="55" t="s">
        <v>16</v>
      </c>
      <c r="B26" s="248" t="s">
        <v>26</v>
      </c>
      <c r="C26" s="249"/>
      <c r="D26" s="250"/>
      <c r="E26" s="57">
        <f>51051680.53+13+285783.63-361676.13</f>
        <v>50975801.030000001</v>
      </c>
      <c r="F26" s="56">
        <f>E26*22%</f>
        <v>11214676.23</v>
      </c>
      <c r="G26" s="204">
        <f>50468510*22%</f>
        <v>11103072.199999999</v>
      </c>
      <c r="H26" s="205"/>
      <c r="I26" s="206"/>
      <c r="J26" s="204">
        <f>F26</f>
        <v>11214676.23</v>
      </c>
      <c r="K26" s="205"/>
      <c r="L26" s="206"/>
      <c r="M26" s="102"/>
      <c r="N26" s="113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1:32" s="103" customFormat="1" x14ac:dyDescent="0.25">
      <c r="A27" s="55" t="s">
        <v>17</v>
      </c>
      <c r="B27" s="248" t="s">
        <v>27</v>
      </c>
      <c r="C27" s="249"/>
      <c r="D27" s="250"/>
      <c r="E27" s="57">
        <v>0</v>
      </c>
      <c r="F27" s="57">
        <v>0</v>
      </c>
      <c r="G27" s="256">
        <v>0</v>
      </c>
      <c r="H27" s="205"/>
      <c r="I27" s="206"/>
      <c r="J27" s="256">
        <v>0</v>
      </c>
      <c r="K27" s="205"/>
      <c r="L27" s="206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</row>
    <row r="28" spans="1:32" s="103" customFormat="1" ht="41.45" customHeight="1" x14ac:dyDescent="0.25">
      <c r="A28" s="55" t="s">
        <v>18</v>
      </c>
      <c r="B28" s="245" t="s">
        <v>185</v>
      </c>
      <c r="C28" s="246"/>
      <c r="D28" s="247"/>
      <c r="E28" s="57">
        <v>0</v>
      </c>
      <c r="F28" s="57">
        <v>0</v>
      </c>
      <c r="G28" s="256">
        <v>0</v>
      </c>
      <c r="H28" s="205"/>
      <c r="I28" s="206"/>
      <c r="J28" s="256">
        <v>0</v>
      </c>
      <c r="K28" s="205"/>
      <c r="L28" s="206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</row>
    <row r="29" spans="1:32" s="103" customFormat="1" ht="25.9" customHeight="1" x14ac:dyDescent="0.25">
      <c r="A29" s="55" t="s">
        <v>19</v>
      </c>
      <c r="B29" s="245" t="s">
        <v>184</v>
      </c>
      <c r="C29" s="246"/>
      <c r="D29" s="247"/>
      <c r="E29" s="57" t="s">
        <v>13</v>
      </c>
      <c r="F29" s="56">
        <f>F31+F32+F33+F34+F35</f>
        <v>1493944.47</v>
      </c>
      <c r="G29" s="204">
        <f>G31+G33</f>
        <v>1449416.7</v>
      </c>
      <c r="H29" s="205"/>
      <c r="I29" s="206"/>
      <c r="J29" s="204">
        <f>F29</f>
        <v>1493944.47</v>
      </c>
      <c r="K29" s="205"/>
      <c r="L29" s="206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1:32" s="103" customFormat="1" ht="8.25" customHeight="1" x14ac:dyDescent="0.25">
      <c r="A30" s="55"/>
      <c r="B30" s="248" t="s">
        <v>3</v>
      </c>
      <c r="C30" s="249"/>
      <c r="D30" s="250"/>
      <c r="E30" s="140"/>
      <c r="F30" s="56"/>
      <c r="G30" s="204"/>
      <c r="H30" s="205"/>
      <c r="I30" s="206"/>
      <c r="J30" s="204"/>
      <c r="K30" s="205"/>
      <c r="L30" s="206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</row>
    <row r="31" spans="1:32" s="103" customFormat="1" ht="41.25" customHeight="1" x14ac:dyDescent="0.25">
      <c r="A31" s="55" t="s">
        <v>20</v>
      </c>
      <c r="B31" s="245" t="s">
        <v>28</v>
      </c>
      <c r="C31" s="246"/>
      <c r="D31" s="247"/>
      <c r="E31" s="57">
        <f>E26</f>
        <v>50975801.030000001</v>
      </c>
      <c r="F31" s="56">
        <f>E31*2.9%-86310.58+5.22</f>
        <v>1391992.87</v>
      </c>
      <c r="G31" s="204">
        <f>50468510*2.9%-115107.11</f>
        <v>1348479.68</v>
      </c>
      <c r="H31" s="205"/>
      <c r="I31" s="206"/>
      <c r="J31" s="204">
        <f>F31</f>
        <v>1391992.87</v>
      </c>
      <c r="K31" s="205"/>
      <c r="L31" s="206"/>
      <c r="M31" s="102"/>
      <c r="N31" s="113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</row>
    <row r="32" spans="1:32" s="103" customFormat="1" ht="28.5" customHeight="1" x14ac:dyDescent="0.25">
      <c r="A32" s="55" t="s">
        <v>21</v>
      </c>
      <c r="B32" s="245" t="s">
        <v>186</v>
      </c>
      <c r="C32" s="246"/>
      <c r="D32" s="247"/>
      <c r="E32" s="57">
        <v>0</v>
      </c>
      <c r="F32" s="56">
        <v>0</v>
      </c>
      <c r="G32" s="204">
        <v>0</v>
      </c>
      <c r="H32" s="205"/>
      <c r="I32" s="206"/>
      <c r="J32" s="204">
        <v>0</v>
      </c>
      <c r="K32" s="205"/>
      <c r="L32" s="206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</row>
    <row r="33" spans="1:32" s="103" customFormat="1" ht="37.9" customHeight="1" x14ac:dyDescent="0.25">
      <c r="A33" s="55" t="s">
        <v>22</v>
      </c>
      <c r="B33" s="245" t="s">
        <v>29</v>
      </c>
      <c r="C33" s="246"/>
      <c r="D33" s="247"/>
      <c r="E33" s="57">
        <f>E26</f>
        <v>50975801.030000001</v>
      </c>
      <c r="F33" s="56">
        <f>E33*0.2%</f>
        <v>101951.6</v>
      </c>
      <c r="G33" s="204">
        <f>50468510*0.2%</f>
        <v>100937.02</v>
      </c>
      <c r="H33" s="205"/>
      <c r="I33" s="206"/>
      <c r="J33" s="204">
        <f>F33</f>
        <v>101951.6</v>
      </c>
      <c r="K33" s="205"/>
      <c r="L33" s="206"/>
      <c r="M33" s="102"/>
      <c r="N33" s="113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</row>
    <row r="34" spans="1:32" s="103" customFormat="1" ht="37.15" customHeight="1" x14ac:dyDescent="0.25">
      <c r="A34" s="55" t="s">
        <v>23</v>
      </c>
      <c r="B34" s="245" t="s">
        <v>30</v>
      </c>
      <c r="C34" s="246"/>
      <c r="D34" s="247"/>
      <c r="E34" s="57">
        <v>0</v>
      </c>
      <c r="F34" s="57">
        <v>0</v>
      </c>
      <c r="G34" s="256">
        <v>0</v>
      </c>
      <c r="H34" s="205"/>
      <c r="I34" s="206"/>
      <c r="J34" s="256">
        <v>0</v>
      </c>
      <c r="K34" s="205"/>
      <c r="L34" s="206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</row>
    <row r="35" spans="1:32" s="103" customFormat="1" ht="43.9" customHeight="1" x14ac:dyDescent="0.25">
      <c r="A35" s="55" t="s">
        <v>24</v>
      </c>
      <c r="B35" s="245" t="s">
        <v>30</v>
      </c>
      <c r="C35" s="246"/>
      <c r="D35" s="247"/>
      <c r="E35" s="57">
        <v>0</v>
      </c>
      <c r="F35" s="57">
        <v>0</v>
      </c>
      <c r="G35" s="256">
        <v>0</v>
      </c>
      <c r="H35" s="205"/>
      <c r="I35" s="206"/>
      <c r="J35" s="256">
        <v>0</v>
      </c>
      <c r="K35" s="205"/>
      <c r="L35" s="206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  <row r="36" spans="1:32" s="103" customFormat="1" ht="28.5" customHeight="1" x14ac:dyDescent="0.25">
      <c r="A36" s="55" t="s">
        <v>25</v>
      </c>
      <c r="B36" s="245" t="s">
        <v>187</v>
      </c>
      <c r="C36" s="246"/>
      <c r="D36" s="247"/>
      <c r="E36" s="57">
        <f>E26</f>
        <v>50975801.030000001</v>
      </c>
      <c r="F36" s="56">
        <f>E36*5.1%</f>
        <v>2599765.85</v>
      </c>
      <c r="G36" s="204">
        <f>50468510*5.1%</f>
        <v>2573894.0099999998</v>
      </c>
      <c r="H36" s="205"/>
      <c r="I36" s="206"/>
      <c r="J36" s="204">
        <f>F36</f>
        <v>2599765.85</v>
      </c>
      <c r="K36" s="205"/>
      <c r="L36" s="206"/>
      <c r="M36" s="102"/>
      <c r="N36" s="113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1:32" s="103" customFormat="1" x14ac:dyDescent="0.25">
      <c r="A37" s="209" t="s">
        <v>4</v>
      </c>
      <c r="B37" s="251"/>
      <c r="C37" s="251"/>
      <c r="D37" s="252"/>
      <c r="E37" s="56" t="s">
        <v>13</v>
      </c>
      <c r="F37" s="58">
        <f>F26+F29+F36</f>
        <v>15308386.550000001</v>
      </c>
      <c r="G37" s="280">
        <f>G24+G29+G36</f>
        <v>15126382.91</v>
      </c>
      <c r="H37" s="205"/>
      <c r="I37" s="206"/>
      <c r="J37" s="280">
        <f>J24+J29+J36</f>
        <v>15308386.550000001</v>
      </c>
      <c r="K37" s="205"/>
      <c r="L37" s="206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</row>
    <row r="38" spans="1:32" s="103" customFormat="1" ht="22.15" customHeight="1" x14ac:dyDescent="0.25">
      <c r="A38" s="5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</row>
    <row r="39" spans="1:32" s="103" customFormat="1" ht="17.25" customHeight="1" x14ac:dyDescent="0.25">
      <c r="A39" s="238" t="s">
        <v>188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</row>
    <row r="40" spans="1:32" s="103" customFormat="1" x14ac:dyDescent="0.25">
      <c r="A40" s="59" t="s">
        <v>39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</row>
    <row r="41" spans="1:32" s="103" customFormat="1" ht="8.25" customHeight="1" x14ac:dyDescent="0.25">
      <c r="A41" s="5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</row>
    <row r="42" spans="1:32" s="103" customFormat="1" ht="15" customHeight="1" x14ac:dyDescent="0.25">
      <c r="A42" s="203" t="s">
        <v>5</v>
      </c>
      <c r="B42" s="188" t="s">
        <v>31</v>
      </c>
      <c r="C42" s="188" t="s">
        <v>36</v>
      </c>
      <c r="D42" s="188" t="s">
        <v>32</v>
      </c>
      <c r="E42" s="180" t="s">
        <v>33</v>
      </c>
      <c r="F42" s="181"/>
      <c r="G42" s="179" t="s">
        <v>118</v>
      </c>
      <c r="H42" s="228"/>
      <c r="I42" s="228"/>
      <c r="J42" s="228"/>
      <c r="K42" s="228"/>
      <c r="L42" s="228"/>
      <c r="M42" s="102"/>
      <c r="N42" s="102"/>
      <c r="O42" s="102">
        <f>G37+G87+I107+G128+G138+G147+I159</f>
        <v>23373721.489999998</v>
      </c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</row>
    <row r="43" spans="1:32" s="103" customFormat="1" ht="41.25" customHeight="1" x14ac:dyDescent="0.25">
      <c r="A43" s="192"/>
      <c r="B43" s="192"/>
      <c r="C43" s="192"/>
      <c r="D43" s="192"/>
      <c r="E43" s="240"/>
      <c r="F43" s="241"/>
      <c r="G43" s="214" t="s">
        <v>126</v>
      </c>
      <c r="H43" s="215"/>
      <c r="I43" s="216"/>
      <c r="J43" s="214" t="s">
        <v>127</v>
      </c>
      <c r="K43" s="215"/>
      <c r="L43" s="216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</row>
    <row r="44" spans="1:32" s="142" customFormat="1" ht="8.4499999999999993" customHeight="1" x14ac:dyDescent="0.25">
      <c r="A44" s="53" t="s">
        <v>34</v>
      </c>
      <c r="B44" s="16">
        <v>2</v>
      </c>
      <c r="C44" s="16">
        <v>3</v>
      </c>
      <c r="D44" s="16">
        <v>4</v>
      </c>
      <c r="E44" s="242">
        <v>5</v>
      </c>
      <c r="F44" s="242"/>
      <c r="G44" s="253">
        <v>6</v>
      </c>
      <c r="H44" s="254"/>
      <c r="I44" s="255"/>
      <c r="J44" s="253">
        <v>7</v>
      </c>
      <c r="K44" s="254"/>
      <c r="L44" s="255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</row>
    <row r="45" spans="1:32" s="103" customFormat="1" x14ac:dyDescent="0.25">
      <c r="A45" s="60"/>
      <c r="B45" s="61"/>
      <c r="C45" s="123">
        <v>0</v>
      </c>
      <c r="D45" s="123">
        <v>0</v>
      </c>
      <c r="E45" s="239">
        <f>C45*D45</f>
        <v>0</v>
      </c>
      <c r="F45" s="239"/>
      <c r="G45" s="204">
        <v>0</v>
      </c>
      <c r="H45" s="205"/>
      <c r="I45" s="206"/>
      <c r="J45" s="204">
        <v>0</v>
      </c>
      <c r="K45" s="205"/>
      <c r="L45" s="206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</row>
    <row r="46" spans="1:32" s="103" customFormat="1" x14ac:dyDescent="0.25">
      <c r="A46" s="243" t="s">
        <v>12</v>
      </c>
      <c r="B46" s="244"/>
      <c r="C46" s="62" t="s">
        <v>13</v>
      </c>
      <c r="D46" s="62" t="s">
        <v>13</v>
      </c>
      <c r="E46" s="239">
        <f>SUM(E45:F45)</f>
        <v>0</v>
      </c>
      <c r="F46" s="239"/>
      <c r="G46" s="211">
        <v>0</v>
      </c>
      <c r="H46" s="205"/>
      <c r="I46" s="206"/>
      <c r="J46" s="211">
        <v>0</v>
      </c>
      <c r="K46" s="205"/>
      <c r="L46" s="206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</row>
    <row r="47" spans="1:32" s="103" customFormat="1" ht="21" customHeight="1" x14ac:dyDescent="0.25">
      <c r="A47" s="5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</row>
    <row r="48" spans="1:32" s="103" customFormat="1" ht="18.75" customHeight="1" x14ac:dyDescent="0.25">
      <c r="A48" s="238" t="s">
        <v>189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</row>
    <row r="49" spans="1:32" s="103" customFormat="1" ht="9.75" customHeight="1" x14ac:dyDescent="0.25">
      <c r="A49" s="5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</row>
    <row r="50" spans="1:32" s="103" customFormat="1" x14ac:dyDescent="0.25">
      <c r="A50" s="59" t="s">
        <v>143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</row>
    <row r="51" spans="1:32" s="103" customFormat="1" ht="8.25" customHeight="1" x14ac:dyDescent="0.25">
      <c r="A51" s="5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</row>
    <row r="52" spans="1:32" s="103" customFormat="1" ht="15" customHeight="1" x14ac:dyDescent="0.25">
      <c r="A52" s="203" t="s">
        <v>5</v>
      </c>
      <c r="B52" s="188" t="s">
        <v>6</v>
      </c>
      <c r="C52" s="188" t="s">
        <v>35</v>
      </c>
      <c r="D52" s="188" t="s">
        <v>37</v>
      </c>
      <c r="E52" s="180" t="s">
        <v>38</v>
      </c>
      <c r="F52" s="181"/>
      <c r="G52" s="179" t="s">
        <v>118</v>
      </c>
      <c r="H52" s="228"/>
      <c r="I52" s="228"/>
      <c r="J52" s="228"/>
      <c r="K52" s="228"/>
      <c r="L52" s="228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</row>
    <row r="53" spans="1:32" s="103" customFormat="1" ht="44.25" customHeight="1" x14ac:dyDescent="0.25">
      <c r="A53" s="192"/>
      <c r="B53" s="192"/>
      <c r="C53" s="192"/>
      <c r="D53" s="192"/>
      <c r="E53" s="240"/>
      <c r="F53" s="241"/>
      <c r="G53" s="214" t="s">
        <v>128</v>
      </c>
      <c r="H53" s="215"/>
      <c r="I53" s="216"/>
      <c r="J53" s="214" t="s">
        <v>129</v>
      </c>
      <c r="K53" s="215"/>
      <c r="L53" s="216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</row>
    <row r="54" spans="1:32" s="142" customFormat="1" ht="8.4499999999999993" customHeight="1" x14ac:dyDescent="0.25">
      <c r="A54" s="53" t="s">
        <v>34</v>
      </c>
      <c r="B54" s="16">
        <v>2</v>
      </c>
      <c r="C54" s="16">
        <v>3</v>
      </c>
      <c r="D54" s="16">
        <v>4</v>
      </c>
      <c r="E54" s="242">
        <v>5</v>
      </c>
      <c r="F54" s="242"/>
      <c r="G54" s="282">
        <v>7</v>
      </c>
      <c r="H54" s="254"/>
      <c r="I54" s="255"/>
      <c r="J54" s="282">
        <v>8</v>
      </c>
      <c r="K54" s="254"/>
      <c r="L54" s="255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</row>
    <row r="55" spans="1:32" s="116" customFormat="1" ht="12.75" x14ac:dyDescent="0.2">
      <c r="A55" s="55" t="s">
        <v>34</v>
      </c>
      <c r="B55" s="72" t="s">
        <v>171</v>
      </c>
      <c r="C55" s="56"/>
      <c r="D55" s="62"/>
      <c r="E55" s="281"/>
      <c r="F55" s="281"/>
      <c r="G55" s="272">
        <v>0</v>
      </c>
      <c r="H55" s="215"/>
      <c r="I55" s="216"/>
      <c r="J55" s="272">
        <f>E55</f>
        <v>0</v>
      </c>
      <c r="K55" s="215"/>
      <c r="L55" s="216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</row>
    <row r="56" spans="1:32" s="103" customFormat="1" x14ac:dyDescent="0.25">
      <c r="A56" s="243" t="s">
        <v>12</v>
      </c>
      <c r="B56" s="244"/>
      <c r="C56" s="56" t="s">
        <v>13</v>
      </c>
      <c r="D56" s="56" t="s">
        <v>13</v>
      </c>
      <c r="E56" s="279">
        <f>SUM(E55:F55)</f>
        <v>0</v>
      </c>
      <c r="F56" s="279"/>
      <c r="G56" s="235">
        <f>SUM(G55)</f>
        <v>0</v>
      </c>
      <c r="H56" s="236"/>
      <c r="I56" s="237"/>
      <c r="J56" s="235">
        <f>E56</f>
        <v>0</v>
      </c>
      <c r="K56" s="236"/>
      <c r="L56" s="237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</row>
    <row r="57" spans="1:32" s="103" customFormat="1" ht="12.75" customHeight="1" x14ac:dyDescent="0.25">
      <c r="A57" s="143"/>
      <c r="B57" s="144"/>
      <c r="C57" s="145"/>
      <c r="D57" s="145"/>
      <c r="E57" s="146"/>
      <c r="F57" s="146"/>
      <c r="G57" s="147"/>
      <c r="H57" s="148"/>
      <c r="I57" s="148"/>
      <c r="J57" s="147"/>
      <c r="K57" s="148"/>
      <c r="L57" s="148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</row>
    <row r="58" spans="1:32" s="103" customFormat="1" ht="15.75" customHeight="1" x14ac:dyDescent="0.25">
      <c r="A58" s="238" t="s">
        <v>190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</row>
    <row r="59" spans="1:32" s="103" customFormat="1" x14ac:dyDescent="0.25">
      <c r="A59" s="59" t="s">
        <v>39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</row>
    <row r="60" spans="1:32" s="103" customFormat="1" ht="7.5" customHeight="1" x14ac:dyDescent="0.25">
      <c r="A60" s="5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</row>
    <row r="61" spans="1:32" s="103" customFormat="1" ht="17.25" customHeight="1" x14ac:dyDescent="0.25">
      <c r="A61" s="203" t="s">
        <v>5</v>
      </c>
      <c r="B61" s="188" t="s">
        <v>31</v>
      </c>
      <c r="C61" s="188" t="s">
        <v>36</v>
      </c>
      <c r="D61" s="188" t="s">
        <v>32</v>
      </c>
      <c r="E61" s="180" t="s">
        <v>33</v>
      </c>
      <c r="F61" s="181"/>
      <c r="G61" s="179" t="s">
        <v>118</v>
      </c>
      <c r="H61" s="228"/>
      <c r="I61" s="228"/>
      <c r="J61" s="228"/>
      <c r="K61" s="228"/>
      <c r="L61" s="228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</row>
    <row r="62" spans="1:32" s="103" customFormat="1" ht="35.25" customHeight="1" x14ac:dyDescent="0.25">
      <c r="A62" s="192"/>
      <c r="B62" s="192"/>
      <c r="C62" s="192"/>
      <c r="D62" s="192"/>
      <c r="E62" s="240"/>
      <c r="F62" s="241"/>
      <c r="G62" s="214" t="s">
        <v>126</v>
      </c>
      <c r="H62" s="215"/>
      <c r="I62" s="216"/>
      <c r="J62" s="214" t="s">
        <v>191</v>
      </c>
      <c r="K62" s="215"/>
      <c r="L62" s="216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</row>
    <row r="63" spans="1:32" s="116" customFormat="1" ht="9" customHeight="1" x14ac:dyDescent="0.25">
      <c r="A63" s="107" t="s">
        <v>34</v>
      </c>
      <c r="B63" s="108">
        <v>2</v>
      </c>
      <c r="C63" s="108">
        <v>3</v>
      </c>
      <c r="D63" s="108">
        <v>4</v>
      </c>
      <c r="E63" s="224">
        <v>5</v>
      </c>
      <c r="F63" s="224"/>
      <c r="G63" s="232">
        <v>6</v>
      </c>
      <c r="H63" s="233"/>
      <c r="I63" s="234"/>
      <c r="J63" s="232">
        <v>7</v>
      </c>
      <c r="K63" s="233"/>
      <c r="L63" s="234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</row>
    <row r="64" spans="1:32" s="103" customFormat="1" x14ac:dyDescent="0.25">
      <c r="A64" s="60"/>
      <c r="B64" s="61"/>
      <c r="C64" s="123">
        <v>0</v>
      </c>
      <c r="D64" s="123">
        <v>0</v>
      </c>
      <c r="E64" s="239">
        <f>C64*D64</f>
        <v>0</v>
      </c>
      <c r="F64" s="239"/>
      <c r="G64" s="204">
        <v>0</v>
      </c>
      <c r="H64" s="205"/>
      <c r="I64" s="206"/>
      <c r="J64" s="204">
        <v>0</v>
      </c>
      <c r="K64" s="205"/>
      <c r="L64" s="206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</row>
    <row r="65" spans="1:32" s="103" customFormat="1" x14ac:dyDescent="0.25">
      <c r="A65" s="243" t="s">
        <v>12</v>
      </c>
      <c r="B65" s="244"/>
      <c r="C65" s="62" t="s">
        <v>13</v>
      </c>
      <c r="D65" s="62" t="s">
        <v>13</v>
      </c>
      <c r="E65" s="278">
        <f>SUM(E64:F64)</f>
        <v>0</v>
      </c>
      <c r="F65" s="278"/>
      <c r="G65" s="211">
        <v>0</v>
      </c>
      <c r="H65" s="225"/>
      <c r="I65" s="226"/>
      <c r="J65" s="211">
        <v>0</v>
      </c>
      <c r="K65" s="225"/>
      <c r="L65" s="226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</row>
    <row r="66" spans="1:32" s="103" customFormat="1" ht="8.25" customHeight="1" x14ac:dyDescent="0.25">
      <c r="A66" s="5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</row>
    <row r="67" spans="1:32" s="103" customFormat="1" ht="16.5" customHeight="1" x14ac:dyDescent="0.25">
      <c r="A67" s="238" t="s">
        <v>192</v>
      </c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</row>
    <row r="68" spans="1:32" s="103" customFormat="1" x14ac:dyDescent="0.25">
      <c r="A68" s="59" t="s">
        <v>39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</row>
    <row r="69" spans="1:32" s="103" customFormat="1" ht="7.5" customHeight="1" x14ac:dyDescent="0.25">
      <c r="A69" s="5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</row>
    <row r="70" spans="1:32" s="103" customFormat="1" ht="15.75" customHeight="1" x14ac:dyDescent="0.25">
      <c r="A70" s="203" t="s">
        <v>5</v>
      </c>
      <c r="B70" s="188" t="s">
        <v>31</v>
      </c>
      <c r="C70" s="188" t="s">
        <v>36</v>
      </c>
      <c r="D70" s="188" t="s">
        <v>32</v>
      </c>
      <c r="E70" s="180" t="s">
        <v>33</v>
      </c>
      <c r="F70" s="181"/>
      <c r="G70" s="179" t="s">
        <v>118</v>
      </c>
      <c r="H70" s="228"/>
      <c r="I70" s="228"/>
      <c r="J70" s="228"/>
      <c r="K70" s="228"/>
      <c r="L70" s="228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</row>
    <row r="71" spans="1:32" s="103" customFormat="1" ht="37.5" customHeight="1" x14ac:dyDescent="0.25">
      <c r="A71" s="192"/>
      <c r="B71" s="192"/>
      <c r="C71" s="192"/>
      <c r="D71" s="192"/>
      <c r="E71" s="240"/>
      <c r="F71" s="241"/>
      <c r="G71" s="214" t="s">
        <v>193</v>
      </c>
      <c r="H71" s="215"/>
      <c r="I71" s="216"/>
      <c r="J71" s="214" t="s">
        <v>194</v>
      </c>
      <c r="K71" s="215"/>
      <c r="L71" s="216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</row>
    <row r="72" spans="1:32" s="116" customFormat="1" ht="8.4499999999999993" customHeight="1" x14ac:dyDescent="0.25">
      <c r="A72" s="107" t="s">
        <v>34</v>
      </c>
      <c r="B72" s="108">
        <v>2</v>
      </c>
      <c r="C72" s="108">
        <v>3</v>
      </c>
      <c r="D72" s="108">
        <v>4</v>
      </c>
      <c r="E72" s="224">
        <v>5</v>
      </c>
      <c r="F72" s="224"/>
      <c r="G72" s="232">
        <v>6</v>
      </c>
      <c r="H72" s="233"/>
      <c r="I72" s="234"/>
      <c r="J72" s="232">
        <v>7</v>
      </c>
      <c r="K72" s="233"/>
      <c r="L72" s="234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</row>
    <row r="73" spans="1:32" s="103" customFormat="1" x14ac:dyDescent="0.25">
      <c r="A73" s="60"/>
      <c r="B73" s="61"/>
      <c r="C73" s="123">
        <v>0</v>
      </c>
      <c r="D73" s="123">
        <v>0</v>
      </c>
      <c r="E73" s="239">
        <f>C73*D73</f>
        <v>0</v>
      </c>
      <c r="F73" s="239"/>
      <c r="G73" s="204">
        <v>0</v>
      </c>
      <c r="H73" s="205"/>
      <c r="I73" s="206"/>
      <c r="J73" s="204">
        <v>0</v>
      </c>
      <c r="K73" s="205"/>
      <c r="L73" s="206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</row>
    <row r="74" spans="1:32" s="103" customFormat="1" x14ac:dyDescent="0.25">
      <c r="A74" s="243" t="s">
        <v>12</v>
      </c>
      <c r="B74" s="244"/>
      <c r="C74" s="62" t="s">
        <v>13</v>
      </c>
      <c r="D74" s="62" t="s">
        <v>13</v>
      </c>
      <c r="E74" s="278">
        <f>SUM(E73:F73)</f>
        <v>0</v>
      </c>
      <c r="F74" s="278"/>
      <c r="G74" s="211">
        <v>0</v>
      </c>
      <c r="H74" s="225"/>
      <c r="I74" s="226"/>
      <c r="J74" s="211">
        <v>0</v>
      </c>
      <c r="K74" s="225"/>
      <c r="L74" s="226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</row>
    <row r="75" spans="1:32" s="103" customFormat="1" ht="13.5" customHeight="1" x14ac:dyDescent="0.25">
      <c r="A75" s="66"/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</row>
    <row r="76" spans="1:32" s="103" customFormat="1" ht="1.1499999999999999" hidden="1" customHeight="1" x14ac:dyDescent="0.25">
      <c r="A76" s="66"/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</row>
    <row r="77" spans="1:32" s="103" customFormat="1" ht="12.75" customHeight="1" x14ac:dyDescent="0.25">
      <c r="A77" s="238" t="s">
        <v>195</v>
      </c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</row>
    <row r="78" spans="1:32" s="103" customFormat="1" x14ac:dyDescent="0.25">
      <c r="A78" s="52" t="s">
        <v>104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</row>
    <row r="79" spans="1:32" s="103" customFormat="1" ht="9.75" customHeight="1" x14ac:dyDescent="0.25">
      <c r="A79" s="66"/>
      <c r="B79" s="6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</row>
    <row r="80" spans="1:32" s="111" customFormat="1" ht="19.149999999999999" customHeight="1" x14ac:dyDescent="0.25">
      <c r="A80" s="172" t="s">
        <v>196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</row>
    <row r="81" spans="1:32" s="111" customFormat="1" ht="9" customHeigh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</row>
    <row r="82" spans="1:32" s="111" customFormat="1" ht="16.5" customHeight="1" x14ac:dyDescent="0.25">
      <c r="A82" s="188" t="s">
        <v>5</v>
      </c>
      <c r="B82" s="188" t="s">
        <v>6</v>
      </c>
      <c r="C82" s="188" t="s">
        <v>40</v>
      </c>
      <c r="D82" s="188" t="s">
        <v>155</v>
      </c>
      <c r="E82" s="188" t="s">
        <v>41</v>
      </c>
      <c r="F82" s="188" t="s">
        <v>9</v>
      </c>
      <c r="G82" s="179" t="s">
        <v>118</v>
      </c>
      <c r="H82" s="228"/>
      <c r="I82" s="228"/>
      <c r="J82" s="228"/>
      <c r="K82" s="228"/>
      <c r="L82" s="228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</row>
    <row r="83" spans="1:32" s="111" customFormat="1" ht="34.9" customHeight="1" x14ac:dyDescent="0.25">
      <c r="A83" s="192"/>
      <c r="B83" s="192"/>
      <c r="C83" s="192"/>
      <c r="D83" s="192"/>
      <c r="E83" s="192"/>
      <c r="F83" s="192"/>
      <c r="G83" s="179" t="s">
        <v>197</v>
      </c>
      <c r="H83" s="228"/>
      <c r="I83" s="228"/>
      <c r="J83" s="179" t="s">
        <v>198</v>
      </c>
      <c r="K83" s="228"/>
      <c r="L83" s="228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</row>
    <row r="84" spans="1:32" s="119" customFormat="1" ht="10.9" customHeight="1" x14ac:dyDescent="0.25">
      <c r="A84" s="42">
        <v>1</v>
      </c>
      <c r="B84" s="42">
        <v>2</v>
      </c>
      <c r="C84" s="42">
        <v>3</v>
      </c>
      <c r="D84" s="42">
        <v>4</v>
      </c>
      <c r="E84" s="42">
        <v>5</v>
      </c>
      <c r="F84" s="42">
        <v>6</v>
      </c>
      <c r="G84" s="207">
        <v>7</v>
      </c>
      <c r="H84" s="283"/>
      <c r="I84" s="284"/>
      <c r="J84" s="207">
        <v>8</v>
      </c>
      <c r="K84" s="283"/>
      <c r="L84" s="284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</row>
    <row r="85" spans="1:32" s="119" customFormat="1" ht="19.5" customHeight="1" x14ac:dyDescent="0.25">
      <c r="A85" s="11">
        <v>1</v>
      </c>
      <c r="B85" s="43" t="s">
        <v>348</v>
      </c>
      <c r="C85" s="11">
        <v>4</v>
      </c>
      <c r="D85" s="11">
        <v>12</v>
      </c>
      <c r="E85" s="139">
        <f>F85/C85/D85</f>
        <v>241.36</v>
      </c>
      <c r="F85" s="11">
        <f>11585.42</f>
        <v>11585.42</v>
      </c>
      <c r="G85" s="271">
        <f>134237.62</f>
        <v>134237.62</v>
      </c>
      <c r="H85" s="293"/>
      <c r="I85" s="294"/>
      <c r="J85" s="271">
        <v>0</v>
      </c>
      <c r="K85" s="293"/>
      <c r="L85" s="294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</row>
    <row r="86" spans="1:32" s="111" customFormat="1" x14ac:dyDescent="0.25">
      <c r="A86" s="11">
        <v>1</v>
      </c>
      <c r="B86" s="43" t="s">
        <v>161</v>
      </c>
      <c r="C86" s="11"/>
      <c r="D86" s="11"/>
      <c r="E86" s="44"/>
      <c r="F86" s="44">
        <v>0</v>
      </c>
      <c r="G86" s="272">
        <v>0</v>
      </c>
      <c r="H86" s="215"/>
      <c r="I86" s="216"/>
      <c r="J86" s="272">
        <f t="shared" ref="J86" si="1">F86</f>
        <v>0</v>
      </c>
      <c r="K86" s="215"/>
      <c r="L86" s="216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</row>
    <row r="87" spans="1:32" s="111" customFormat="1" x14ac:dyDescent="0.25">
      <c r="A87" s="214" t="s">
        <v>12</v>
      </c>
      <c r="B87" s="223"/>
      <c r="C87" s="11" t="s">
        <v>13</v>
      </c>
      <c r="D87" s="11" t="s">
        <v>13</v>
      </c>
      <c r="E87" s="11" t="s">
        <v>13</v>
      </c>
      <c r="F87" s="45">
        <f>SUM(F85:F86)</f>
        <v>11585.42</v>
      </c>
      <c r="G87" s="235">
        <f>SUM(G85:I86)</f>
        <v>134237.62</v>
      </c>
      <c r="H87" s="236"/>
      <c r="I87" s="237"/>
      <c r="J87" s="235">
        <f t="shared" ref="J87" si="2">F87</f>
        <v>11585.42</v>
      </c>
      <c r="K87" s="236"/>
      <c r="L87" s="237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</row>
    <row r="88" spans="1:32" s="103" customFormat="1" ht="9.75" customHeight="1" x14ac:dyDescent="0.25">
      <c r="A88" s="5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</row>
    <row r="89" spans="1:32" s="103" customFormat="1" ht="15" customHeight="1" x14ac:dyDescent="0.25">
      <c r="A89" s="238" t="s">
        <v>199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</row>
    <row r="90" spans="1:32" s="103" customFormat="1" ht="9.75" customHeight="1" x14ac:dyDescent="0.25">
      <c r="A90" s="5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</row>
    <row r="91" spans="1:32" s="103" customFormat="1" ht="16.5" customHeight="1" x14ac:dyDescent="0.25">
      <c r="A91" s="203" t="s">
        <v>5</v>
      </c>
      <c r="B91" s="188" t="s">
        <v>6</v>
      </c>
      <c r="C91" s="188" t="s">
        <v>42</v>
      </c>
      <c r="D91" s="188" t="s">
        <v>43</v>
      </c>
      <c r="E91" s="180" t="s">
        <v>44</v>
      </c>
      <c r="F91" s="181"/>
      <c r="G91" s="179" t="s">
        <v>118</v>
      </c>
      <c r="H91" s="228"/>
      <c r="I91" s="228"/>
      <c r="J91" s="228"/>
      <c r="K91" s="228"/>
      <c r="L91" s="228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</row>
    <row r="92" spans="1:32" s="103" customFormat="1" ht="42.6" customHeight="1" x14ac:dyDescent="0.25">
      <c r="A92" s="192"/>
      <c r="B92" s="192"/>
      <c r="C92" s="192"/>
      <c r="D92" s="192"/>
      <c r="E92" s="240"/>
      <c r="F92" s="241"/>
      <c r="G92" s="179" t="s">
        <v>132</v>
      </c>
      <c r="H92" s="228"/>
      <c r="I92" s="228"/>
      <c r="J92" s="179" t="s">
        <v>133</v>
      </c>
      <c r="K92" s="228"/>
      <c r="L92" s="228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</row>
    <row r="93" spans="1:32" s="142" customFormat="1" ht="9.6" customHeight="1" x14ac:dyDescent="0.25">
      <c r="A93" s="53" t="s">
        <v>34</v>
      </c>
      <c r="B93" s="16">
        <v>2</v>
      </c>
      <c r="C93" s="16">
        <v>3</v>
      </c>
      <c r="D93" s="16">
        <v>4</v>
      </c>
      <c r="E93" s="242">
        <v>5</v>
      </c>
      <c r="F93" s="242"/>
      <c r="G93" s="253">
        <v>6</v>
      </c>
      <c r="H93" s="254"/>
      <c r="I93" s="255"/>
      <c r="J93" s="253">
        <v>7</v>
      </c>
      <c r="K93" s="254"/>
      <c r="L93" s="255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</row>
    <row r="94" spans="1:32" s="103" customFormat="1" x14ac:dyDescent="0.25">
      <c r="A94" s="79" t="s">
        <v>34</v>
      </c>
      <c r="B94" s="149"/>
      <c r="C94" s="150"/>
      <c r="D94" s="45"/>
      <c r="E94" s="285"/>
      <c r="F94" s="285"/>
      <c r="G94" s="204">
        <v>0</v>
      </c>
      <c r="H94" s="221"/>
      <c r="I94" s="222"/>
      <c r="J94" s="204">
        <f>E94</f>
        <v>0</v>
      </c>
      <c r="K94" s="221"/>
      <c r="L94" s="22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</row>
    <row r="95" spans="1:32" s="103" customFormat="1" ht="10.5" customHeight="1" x14ac:dyDescent="0.25">
      <c r="A95" s="243" t="s">
        <v>12</v>
      </c>
      <c r="B95" s="244"/>
      <c r="C95" s="62" t="s">
        <v>13</v>
      </c>
      <c r="D95" s="62" t="s">
        <v>13</v>
      </c>
      <c r="E95" s="285">
        <f>SUM(E94:F94)</f>
        <v>0</v>
      </c>
      <c r="F95" s="285"/>
      <c r="G95" s="211">
        <v>0</v>
      </c>
      <c r="H95" s="221"/>
      <c r="I95" s="222"/>
      <c r="J95" s="211">
        <f>SUM(J94)</f>
        <v>0</v>
      </c>
      <c r="K95" s="221"/>
      <c r="L95" s="22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</row>
    <row r="96" spans="1:32" s="103" customFormat="1" ht="9" customHeight="1" x14ac:dyDescent="0.25">
      <c r="A96" s="5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</row>
    <row r="97" spans="1:32" s="111" customFormat="1" ht="14.25" customHeight="1" x14ac:dyDescent="0.25">
      <c r="A97" s="172" t="s">
        <v>244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</row>
    <row r="98" spans="1:32" s="111" customFormat="1" ht="9" customHeight="1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</row>
    <row r="99" spans="1:32" s="111" customFormat="1" ht="12.75" customHeight="1" x14ac:dyDescent="0.25">
      <c r="A99" s="188" t="s">
        <v>5</v>
      </c>
      <c r="B99" s="188" t="s">
        <v>31</v>
      </c>
      <c r="C99" s="188" t="s">
        <v>45</v>
      </c>
      <c r="D99" s="188" t="s">
        <v>46</v>
      </c>
      <c r="E99" s="188" t="s">
        <v>47</v>
      </c>
      <c r="F99" s="188" t="s">
        <v>9</v>
      </c>
      <c r="G99" s="179" t="s">
        <v>118</v>
      </c>
      <c r="H99" s="228"/>
      <c r="I99" s="228"/>
      <c r="J99" s="228"/>
      <c r="K99" s="228"/>
      <c r="L99" s="228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</row>
    <row r="100" spans="1:32" s="111" customFormat="1" ht="15.75" customHeight="1" x14ac:dyDescent="0.25">
      <c r="A100" s="191"/>
      <c r="B100" s="191"/>
      <c r="C100" s="191"/>
      <c r="D100" s="191"/>
      <c r="E100" s="191"/>
      <c r="F100" s="191"/>
      <c r="G100" s="179" t="s">
        <v>200</v>
      </c>
      <c r="H100" s="228"/>
      <c r="I100" s="228"/>
      <c r="J100" s="179" t="s">
        <v>201</v>
      </c>
      <c r="K100" s="228"/>
      <c r="L100" s="228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</row>
    <row r="101" spans="1:32" s="111" customFormat="1" ht="73.150000000000006" customHeight="1" x14ac:dyDescent="0.25">
      <c r="A101" s="192"/>
      <c r="B101" s="192"/>
      <c r="C101" s="192"/>
      <c r="D101" s="192"/>
      <c r="E101" s="192"/>
      <c r="F101" s="192"/>
      <c r="G101" s="73" t="s">
        <v>45</v>
      </c>
      <c r="H101" s="74" t="s">
        <v>152</v>
      </c>
      <c r="I101" s="74" t="s">
        <v>150</v>
      </c>
      <c r="J101" s="73" t="s">
        <v>45</v>
      </c>
      <c r="K101" s="74" t="s">
        <v>134</v>
      </c>
      <c r="L101" s="74" t="s">
        <v>151</v>
      </c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</row>
    <row r="102" spans="1:32" s="136" customFormat="1" ht="10.5" x14ac:dyDescent="0.25">
      <c r="A102" s="47">
        <v>1</v>
      </c>
      <c r="B102" s="47">
        <v>2</v>
      </c>
      <c r="C102" s="47">
        <v>3</v>
      </c>
      <c r="D102" s="47">
        <v>4</v>
      </c>
      <c r="E102" s="47">
        <v>5</v>
      </c>
      <c r="F102" s="47">
        <v>6</v>
      </c>
      <c r="G102" s="47">
        <v>7</v>
      </c>
      <c r="H102" s="76">
        <v>8</v>
      </c>
      <c r="I102" s="76">
        <v>9</v>
      </c>
      <c r="J102" s="47">
        <v>10</v>
      </c>
      <c r="K102" s="76">
        <v>11</v>
      </c>
      <c r="L102" s="76">
        <v>12</v>
      </c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</row>
    <row r="103" spans="1:32" s="111" customFormat="1" x14ac:dyDescent="0.25">
      <c r="A103" s="11">
        <v>1</v>
      </c>
      <c r="B103" s="92" t="s">
        <v>73</v>
      </c>
      <c r="C103" s="44">
        <f>F103/D103</f>
        <v>1028.1099999999999</v>
      </c>
      <c r="D103" s="44">
        <v>44.97</v>
      </c>
      <c r="E103" s="44"/>
      <c r="F103" s="44">
        <f>40473+5761.13</f>
        <v>46234.13</v>
      </c>
      <c r="G103" s="93"/>
      <c r="H103" s="94"/>
      <c r="I103" s="94">
        <f>36368.91</f>
        <v>36368.910000000003</v>
      </c>
      <c r="J103" s="94">
        <f>C103</f>
        <v>1028.1099999999999</v>
      </c>
      <c r="K103" s="94">
        <f>D103</f>
        <v>44.97</v>
      </c>
      <c r="L103" s="94">
        <f>F103</f>
        <v>46234.13</v>
      </c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</row>
    <row r="104" spans="1:32" s="111" customFormat="1" x14ac:dyDescent="0.25">
      <c r="A104" s="11">
        <v>2</v>
      </c>
      <c r="B104" s="92" t="s">
        <v>74</v>
      </c>
      <c r="C104" s="44">
        <f t="shared" ref="C104:C106" si="3">F104/D104</f>
        <v>1028.1199999999999</v>
      </c>
      <c r="D104" s="44">
        <v>41.49</v>
      </c>
      <c r="E104" s="44"/>
      <c r="F104" s="44">
        <f>37341+5315.84</f>
        <v>42656.84</v>
      </c>
      <c r="G104" s="93"/>
      <c r="H104" s="94"/>
      <c r="I104" s="94">
        <f>33557.86</f>
        <v>33557.86</v>
      </c>
      <c r="J104" s="94">
        <f t="shared" ref="J104:J106" si="4">C104</f>
        <v>1028.1199999999999</v>
      </c>
      <c r="K104" s="94">
        <f t="shared" ref="K104:K106" si="5">D104</f>
        <v>41.49</v>
      </c>
      <c r="L104" s="94">
        <f>F104</f>
        <v>42656.84</v>
      </c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</row>
    <row r="105" spans="1:32" s="111" customFormat="1" ht="31.15" customHeight="1" x14ac:dyDescent="0.25">
      <c r="A105" s="11">
        <v>3</v>
      </c>
      <c r="B105" s="92" t="s">
        <v>241</v>
      </c>
      <c r="C105" s="44">
        <f>F105/D105</f>
        <v>472.92</v>
      </c>
      <c r="D105" s="44">
        <v>41.49</v>
      </c>
      <c r="E105" s="44"/>
      <c r="F105" s="44">
        <v>19621.59</v>
      </c>
      <c r="G105" s="93"/>
      <c r="H105" s="94"/>
      <c r="I105" s="94">
        <v>0</v>
      </c>
      <c r="J105" s="94">
        <f t="shared" si="4"/>
        <v>472.92</v>
      </c>
      <c r="K105" s="94">
        <f t="shared" si="5"/>
        <v>41.49</v>
      </c>
      <c r="L105" s="94">
        <f>F105</f>
        <v>19621.59</v>
      </c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</row>
    <row r="106" spans="1:32" s="111" customFormat="1" x14ac:dyDescent="0.25">
      <c r="A106" s="11">
        <v>4</v>
      </c>
      <c r="B106" s="92" t="s">
        <v>160</v>
      </c>
      <c r="C106" s="44">
        <f t="shared" si="3"/>
        <v>244.49</v>
      </c>
      <c r="D106" s="44">
        <v>973.86</v>
      </c>
      <c r="E106" s="44"/>
      <c r="F106" s="44">
        <v>238101.77</v>
      </c>
      <c r="G106" s="93"/>
      <c r="H106" s="94"/>
      <c r="I106" s="94">
        <f>217751.48</f>
        <v>217751.48</v>
      </c>
      <c r="J106" s="94">
        <f t="shared" si="4"/>
        <v>244.49</v>
      </c>
      <c r="K106" s="94">
        <f t="shared" si="5"/>
        <v>973.86</v>
      </c>
      <c r="L106" s="94">
        <f>F106</f>
        <v>238101.77</v>
      </c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</row>
    <row r="107" spans="1:32" s="111" customFormat="1" x14ac:dyDescent="0.25">
      <c r="A107" s="214" t="s">
        <v>12</v>
      </c>
      <c r="B107" s="223"/>
      <c r="C107" s="44" t="s">
        <v>13</v>
      </c>
      <c r="D107" s="44" t="s">
        <v>13</v>
      </c>
      <c r="E107" s="44" t="s">
        <v>13</v>
      </c>
      <c r="F107" s="45">
        <f>SUM(F103:F106)</f>
        <v>346614.33</v>
      </c>
      <c r="G107" s="95" t="s">
        <v>13</v>
      </c>
      <c r="H107" s="95" t="s">
        <v>13</v>
      </c>
      <c r="I107" s="95">
        <f>SUM(I103:I106)</f>
        <v>287678.25</v>
      </c>
      <c r="J107" s="95" t="s">
        <v>13</v>
      </c>
      <c r="K107" s="95" t="s">
        <v>13</v>
      </c>
      <c r="L107" s="95">
        <f>SUM(L103:L106)</f>
        <v>346614.33</v>
      </c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</row>
    <row r="108" spans="1:32" s="103" customFormat="1" ht="63" customHeight="1" x14ac:dyDescent="0.25">
      <c r="A108" s="5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</row>
    <row r="109" spans="1:32" s="103" customFormat="1" ht="15.75" customHeight="1" x14ac:dyDescent="0.25">
      <c r="A109" s="238" t="s">
        <v>202</v>
      </c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</row>
    <row r="110" spans="1:32" s="103" customFormat="1" ht="9.75" customHeight="1" x14ac:dyDescent="0.25">
      <c r="A110" s="5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</row>
    <row r="111" spans="1:32" s="103" customFormat="1" ht="15.75" customHeight="1" x14ac:dyDescent="0.25">
      <c r="A111" s="203" t="s">
        <v>5</v>
      </c>
      <c r="B111" s="188" t="s">
        <v>31</v>
      </c>
      <c r="C111" s="188" t="s">
        <v>48</v>
      </c>
      <c r="D111" s="188" t="s">
        <v>49</v>
      </c>
      <c r="E111" s="180" t="s">
        <v>50</v>
      </c>
      <c r="F111" s="181"/>
      <c r="G111" s="179" t="s">
        <v>118</v>
      </c>
      <c r="H111" s="228"/>
      <c r="I111" s="228"/>
      <c r="J111" s="228"/>
      <c r="K111" s="228"/>
      <c r="L111" s="228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</row>
    <row r="112" spans="1:32" s="103" customFormat="1" ht="41.45" customHeight="1" x14ac:dyDescent="0.25">
      <c r="A112" s="192"/>
      <c r="B112" s="192"/>
      <c r="C112" s="192"/>
      <c r="D112" s="192"/>
      <c r="E112" s="240"/>
      <c r="F112" s="241"/>
      <c r="G112" s="214" t="s">
        <v>135</v>
      </c>
      <c r="H112" s="215"/>
      <c r="I112" s="216"/>
      <c r="J112" s="214" t="s">
        <v>136</v>
      </c>
      <c r="K112" s="215"/>
      <c r="L112" s="216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</row>
    <row r="113" spans="1:32" s="116" customFormat="1" ht="11.45" customHeight="1" x14ac:dyDescent="0.25">
      <c r="A113" s="107" t="s">
        <v>34</v>
      </c>
      <c r="B113" s="108">
        <v>2</v>
      </c>
      <c r="C113" s="108">
        <v>3</v>
      </c>
      <c r="D113" s="108">
        <v>4</v>
      </c>
      <c r="E113" s="224">
        <v>5</v>
      </c>
      <c r="F113" s="224"/>
      <c r="G113" s="232">
        <v>6</v>
      </c>
      <c r="H113" s="233"/>
      <c r="I113" s="234"/>
      <c r="J113" s="232">
        <v>7</v>
      </c>
      <c r="K113" s="233"/>
      <c r="L113" s="234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</row>
    <row r="114" spans="1:32" s="103" customFormat="1" x14ac:dyDescent="0.25">
      <c r="A114" s="60"/>
      <c r="B114" s="61"/>
      <c r="C114" s="123">
        <v>0</v>
      </c>
      <c r="D114" s="123">
        <v>0</v>
      </c>
      <c r="E114" s="239">
        <v>0</v>
      </c>
      <c r="F114" s="239"/>
      <c r="G114" s="220">
        <v>0</v>
      </c>
      <c r="H114" s="221"/>
      <c r="I114" s="222"/>
      <c r="J114" s="220">
        <v>0</v>
      </c>
      <c r="K114" s="221"/>
      <c r="L114" s="22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</row>
    <row r="115" spans="1:32" s="103" customFormat="1" x14ac:dyDescent="0.25">
      <c r="A115" s="243" t="s">
        <v>12</v>
      </c>
      <c r="B115" s="244"/>
      <c r="C115" s="62" t="s">
        <v>13</v>
      </c>
      <c r="D115" s="62" t="s">
        <v>13</v>
      </c>
      <c r="E115" s="239">
        <f>SUM(E114:F114)</f>
        <v>0</v>
      </c>
      <c r="F115" s="239"/>
      <c r="G115" s="220">
        <v>0</v>
      </c>
      <c r="H115" s="221"/>
      <c r="I115" s="222"/>
      <c r="J115" s="220">
        <v>0</v>
      </c>
      <c r="K115" s="221"/>
      <c r="L115" s="22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</row>
    <row r="116" spans="1:32" s="103" customFormat="1" ht="12" customHeight="1" x14ac:dyDescent="0.25">
      <c r="A116" s="5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</row>
    <row r="117" spans="1:32" s="103" customFormat="1" ht="15" customHeight="1" x14ac:dyDescent="0.25">
      <c r="A117" s="238" t="s">
        <v>203</v>
      </c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</row>
    <row r="118" spans="1:32" s="103" customFormat="1" ht="9.75" customHeight="1" x14ac:dyDescent="0.25">
      <c r="A118" s="5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</row>
    <row r="119" spans="1:32" s="103" customFormat="1" ht="17.25" customHeight="1" x14ac:dyDescent="0.25">
      <c r="A119" s="203" t="s">
        <v>5</v>
      </c>
      <c r="B119" s="188" t="s">
        <v>6</v>
      </c>
      <c r="C119" s="188" t="s">
        <v>51</v>
      </c>
      <c r="D119" s="188" t="s">
        <v>52</v>
      </c>
      <c r="E119" s="180" t="s">
        <v>53</v>
      </c>
      <c r="F119" s="181"/>
      <c r="G119" s="179" t="s">
        <v>118</v>
      </c>
      <c r="H119" s="228"/>
      <c r="I119" s="228"/>
      <c r="J119" s="228"/>
      <c r="K119" s="228"/>
      <c r="L119" s="228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</row>
    <row r="120" spans="1:32" s="103" customFormat="1" ht="30.75" customHeight="1" x14ac:dyDescent="0.25">
      <c r="A120" s="192"/>
      <c r="B120" s="192"/>
      <c r="C120" s="192"/>
      <c r="D120" s="192"/>
      <c r="E120" s="240"/>
      <c r="F120" s="241"/>
      <c r="G120" s="214" t="s">
        <v>137</v>
      </c>
      <c r="H120" s="215"/>
      <c r="I120" s="216"/>
      <c r="J120" s="214" t="s">
        <v>138</v>
      </c>
      <c r="K120" s="215"/>
      <c r="L120" s="216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</row>
    <row r="121" spans="1:32" s="116" customFormat="1" ht="9.6" customHeight="1" x14ac:dyDescent="0.25">
      <c r="A121" s="107" t="s">
        <v>34</v>
      </c>
      <c r="B121" s="108">
        <v>2</v>
      </c>
      <c r="C121" s="108">
        <v>3</v>
      </c>
      <c r="D121" s="108">
        <v>4</v>
      </c>
      <c r="E121" s="224">
        <v>5</v>
      </c>
      <c r="F121" s="224"/>
      <c r="G121" s="232">
        <v>6</v>
      </c>
      <c r="H121" s="233"/>
      <c r="I121" s="234"/>
      <c r="J121" s="232">
        <v>7</v>
      </c>
      <c r="K121" s="233"/>
      <c r="L121" s="234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</row>
    <row r="122" spans="1:32" s="116" customFormat="1" ht="26.25" x14ac:dyDescent="0.25">
      <c r="A122" s="55" t="s">
        <v>34</v>
      </c>
      <c r="B122" s="72" t="s">
        <v>249</v>
      </c>
      <c r="C122" s="62" t="s">
        <v>71</v>
      </c>
      <c r="D122" s="62">
        <v>12</v>
      </c>
      <c r="E122" s="204">
        <v>9479.16</v>
      </c>
      <c r="F122" s="206"/>
      <c r="G122" s="204">
        <f>5627.32</f>
        <v>5627.32</v>
      </c>
      <c r="H122" s="205"/>
      <c r="I122" s="206"/>
      <c r="J122" s="204">
        <f t="shared" ref="J122:J124" si="6">E122</f>
        <v>9479.16</v>
      </c>
      <c r="K122" s="205"/>
      <c r="L122" s="206"/>
      <c r="M122" s="115"/>
      <c r="N122" s="103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</row>
    <row r="123" spans="1:32" s="116" customFormat="1" ht="27" customHeight="1" x14ac:dyDescent="0.25">
      <c r="A123" s="55" t="s">
        <v>19</v>
      </c>
      <c r="B123" s="72" t="s">
        <v>292</v>
      </c>
      <c r="C123" s="62" t="s">
        <v>71</v>
      </c>
      <c r="D123" s="62">
        <v>12</v>
      </c>
      <c r="E123" s="204">
        <v>42000</v>
      </c>
      <c r="F123" s="213"/>
      <c r="G123" s="204">
        <f>17692.96</f>
        <v>17692.96</v>
      </c>
      <c r="H123" s="217"/>
      <c r="I123" s="213"/>
      <c r="J123" s="204">
        <f>E123</f>
        <v>42000</v>
      </c>
      <c r="K123" s="217"/>
      <c r="L123" s="213"/>
      <c r="M123" s="115"/>
      <c r="N123" s="103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</row>
    <row r="124" spans="1:32" s="116" customFormat="1" ht="26.25" customHeight="1" x14ac:dyDescent="0.25">
      <c r="A124" s="55" t="s">
        <v>25</v>
      </c>
      <c r="B124" s="72" t="s">
        <v>109</v>
      </c>
      <c r="C124" s="62" t="s">
        <v>71</v>
      </c>
      <c r="D124" s="62">
        <v>4</v>
      </c>
      <c r="E124" s="204">
        <f>30588.38+3883.86</f>
        <v>34472.239999999998</v>
      </c>
      <c r="F124" s="213"/>
      <c r="G124" s="204">
        <f>15356.45</f>
        <v>15356.45</v>
      </c>
      <c r="H124" s="205"/>
      <c r="I124" s="206"/>
      <c r="J124" s="204">
        <f t="shared" si="6"/>
        <v>34472.239999999998</v>
      </c>
      <c r="K124" s="205"/>
      <c r="L124" s="206"/>
      <c r="M124" s="115"/>
      <c r="N124" s="103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</row>
    <row r="125" spans="1:32" s="116" customFormat="1" ht="16.5" customHeight="1" x14ac:dyDescent="0.25">
      <c r="A125" s="55" t="s">
        <v>63</v>
      </c>
      <c r="B125" s="151" t="s">
        <v>169</v>
      </c>
      <c r="C125" s="62" t="s">
        <v>170</v>
      </c>
      <c r="D125" s="62">
        <v>12</v>
      </c>
      <c r="E125" s="204">
        <v>192000</v>
      </c>
      <c r="F125" s="213"/>
      <c r="G125" s="204">
        <f>118237.71</f>
        <v>118237.71</v>
      </c>
      <c r="H125" s="205"/>
      <c r="I125" s="206"/>
      <c r="J125" s="204">
        <f t="shared" ref="J125" si="7">E125</f>
        <v>192000</v>
      </c>
      <c r="K125" s="205"/>
      <c r="L125" s="206"/>
      <c r="M125" s="115"/>
      <c r="N125" s="103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</row>
    <row r="126" spans="1:32" s="116" customFormat="1" ht="16.5" customHeight="1" x14ac:dyDescent="0.25">
      <c r="A126" s="55" t="s">
        <v>64</v>
      </c>
      <c r="B126" s="151" t="s">
        <v>335</v>
      </c>
      <c r="C126" s="62" t="s">
        <v>71</v>
      </c>
      <c r="D126" s="62">
        <v>12</v>
      </c>
      <c r="E126" s="204">
        <f>20694.1</f>
        <v>20694.099999999999</v>
      </c>
      <c r="F126" s="219"/>
      <c r="G126" s="204">
        <f>409552.42</f>
        <v>409552.42</v>
      </c>
      <c r="H126" s="218"/>
      <c r="I126" s="219"/>
      <c r="J126" s="204">
        <f>E126</f>
        <v>20694.099999999999</v>
      </c>
      <c r="K126" s="218"/>
      <c r="L126" s="219"/>
      <c r="M126" s="115"/>
      <c r="N126" s="103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</row>
    <row r="127" spans="1:32" s="116" customFormat="1" ht="14.25" customHeight="1" x14ac:dyDescent="0.25">
      <c r="A127" s="55" t="s">
        <v>65</v>
      </c>
      <c r="B127" s="152" t="s">
        <v>158</v>
      </c>
      <c r="C127" s="62"/>
      <c r="D127" s="62"/>
      <c r="E127" s="204">
        <v>0</v>
      </c>
      <c r="F127" s="219"/>
      <c r="G127" s="204">
        <f>1585348.52</f>
        <v>1585348.52</v>
      </c>
      <c r="H127" s="218"/>
      <c r="I127" s="219"/>
      <c r="J127" s="204">
        <v>0</v>
      </c>
      <c r="K127" s="218"/>
      <c r="L127" s="219"/>
      <c r="M127" s="115"/>
      <c r="N127" s="153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</row>
    <row r="128" spans="1:32" s="103" customFormat="1" x14ac:dyDescent="0.25">
      <c r="A128" s="209" t="s">
        <v>12</v>
      </c>
      <c r="B128" s="210"/>
      <c r="C128" s="62" t="s">
        <v>13</v>
      </c>
      <c r="D128" s="62" t="s">
        <v>13</v>
      </c>
      <c r="E128" s="211">
        <f>SUM(E122:F127)</f>
        <v>298645.5</v>
      </c>
      <c r="F128" s="212"/>
      <c r="G128" s="211">
        <f>SUM(G122:I127)</f>
        <v>2151815.38</v>
      </c>
      <c r="H128" s="289"/>
      <c r="I128" s="290"/>
      <c r="J128" s="211">
        <f>SUM(J122:L127)</f>
        <v>298645.5</v>
      </c>
      <c r="K128" s="289"/>
      <c r="L128" s="290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</row>
    <row r="129" spans="1:32" s="103" customFormat="1" ht="15" customHeight="1" x14ac:dyDescent="0.25">
      <c r="A129" s="59"/>
      <c r="B129" s="40"/>
      <c r="C129" s="40"/>
      <c r="D129" s="40"/>
      <c r="E129" s="154"/>
      <c r="F129" s="40"/>
      <c r="G129" s="40"/>
      <c r="H129" s="40"/>
      <c r="I129" s="40"/>
      <c r="J129" s="40"/>
      <c r="K129" s="40"/>
      <c r="L129" s="40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</row>
    <row r="130" spans="1:32" s="103" customFormat="1" ht="12" customHeight="1" x14ac:dyDescent="0.25">
      <c r="A130" s="238" t="s">
        <v>204</v>
      </c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</row>
    <row r="131" spans="1:32" s="103" customFormat="1" ht="10.5" customHeight="1" x14ac:dyDescent="0.25">
      <c r="A131" s="5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</row>
    <row r="132" spans="1:32" s="103" customFormat="1" ht="13.5" customHeight="1" x14ac:dyDescent="0.25">
      <c r="A132" s="203" t="s">
        <v>5</v>
      </c>
      <c r="B132" s="188" t="s">
        <v>6</v>
      </c>
      <c r="C132" s="180" t="s">
        <v>54</v>
      </c>
      <c r="D132" s="181"/>
      <c r="E132" s="180" t="s">
        <v>55</v>
      </c>
      <c r="F132" s="181"/>
      <c r="G132" s="179" t="s">
        <v>118</v>
      </c>
      <c r="H132" s="228"/>
      <c r="I132" s="228"/>
      <c r="J132" s="228"/>
      <c r="K132" s="228"/>
      <c r="L132" s="228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</row>
    <row r="133" spans="1:32" s="103" customFormat="1" ht="33.75" customHeight="1" x14ac:dyDescent="0.25">
      <c r="A133" s="192"/>
      <c r="B133" s="192"/>
      <c r="C133" s="240"/>
      <c r="D133" s="241"/>
      <c r="E133" s="240"/>
      <c r="F133" s="241"/>
      <c r="G133" s="214" t="s">
        <v>139</v>
      </c>
      <c r="H133" s="215"/>
      <c r="I133" s="216"/>
      <c r="J133" s="214" t="s">
        <v>140</v>
      </c>
      <c r="K133" s="215"/>
      <c r="L133" s="216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</row>
    <row r="134" spans="1:32" s="116" customFormat="1" ht="10.9" customHeight="1" x14ac:dyDescent="0.25">
      <c r="A134" s="107" t="s">
        <v>34</v>
      </c>
      <c r="B134" s="108">
        <v>2</v>
      </c>
      <c r="C134" s="207">
        <v>3</v>
      </c>
      <c r="D134" s="208"/>
      <c r="E134" s="232">
        <v>4</v>
      </c>
      <c r="F134" s="288"/>
      <c r="G134" s="232">
        <v>5</v>
      </c>
      <c r="H134" s="233"/>
      <c r="I134" s="234"/>
      <c r="J134" s="232">
        <v>6</v>
      </c>
      <c r="K134" s="233"/>
      <c r="L134" s="234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</row>
    <row r="135" spans="1:32" s="103" customFormat="1" x14ac:dyDescent="0.25">
      <c r="A135" s="55" t="s">
        <v>34</v>
      </c>
      <c r="B135" s="155" t="s">
        <v>110</v>
      </c>
      <c r="C135" s="214">
        <v>1</v>
      </c>
      <c r="D135" s="223"/>
      <c r="E135" s="204">
        <v>0</v>
      </c>
      <c r="F135" s="213"/>
      <c r="G135" s="204">
        <v>30395.74</v>
      </c>
      <c r="H135" s="217"/>
      <c r="I135" s="213"/>
      <c r="J135" s="204">
        <f t="shared" ref="J135" si="8">E135</f>
        <v>0</v>
      </c>
      <c r="K135" s="205"/>
      <c r="L135" s="206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</row>
    <row r="136" spans="1:32" s="103" customFormat="1" ht="15.75" customHeight="1" x14ac:dyDescent="0.25">
      <c r="A136" s="55" t="s">
        <v>19</v>
      </c>
      <c r="B136" s="85" t="s">
        <v>227</v>
      </c>
      <c r="C136" s="214">
        <v>1</v>
      </c>
      <c r="D136" s="223"/>
      <c r="E136" s="204">
        <v>3402.49</v>
      </c>
      <c r="F136" s="213"/>
      <c r="G136" s="204">
        <f>48000</f>
        <v>48000</v>
      </c>
      <c r="H136" s="217"/>
      <c r="I136" s="213"/>
      <c r="J136" s="204">
        <f>E136</f>
        <v>3402.49</v>
      </c>
      <c r="K136" s="217"/>
      <c r="L136" s="213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</row>
    <row r="137" spans="1:32" s="103" customFormat="1" ht="15.75" customHeight="1" x14ac:dyDescent="0.25">
      <c r="A137" s="55" t="s">
        <v>25</v>
      </c>
      <c r="B137" s="85" t="s">
        <v>158</v>
      </c>
      <c r="C137" s="214"/>
      <c r="D137" s="223"/>
      <c r="E137" s="204">
        <v>0</v>
      </c>
      <c r="F137" s="213"/>
      <c r="G137" s="204">
        <v>40200</v>
      </c>
      <c r="H137" s="217"/>
      <c r="I137" s="213"/>
      <c r="J137" s="204">
        <f t="shared" ref="J137" si="9">E137</f>
        <v>0</v>
      </c>
      <c r="K137" s="217"/>
      <c r="L137" s="213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</row>
    <row r="138" spans="1:32" s="103" customFormat="1" x14ac:dyDescent="0.25">
      <c r="A138" s="209" t="s">
        <v>12</v>
      </c>
      <c r="B138" s="210"/>
      <c r="C138" s="214" t="s">
        <v>56</v>
      </c>
      <c r="D138" s="216"/>
      <c r="E138" s="285">
        <f>SUM(E135:F137)</f>
        <v>3402.49</v>
      </c>
      <c r="F138" s="285"/>
      <c r="G138" s="211">
        <f>SUM(G135:I137)</f>
        <v>118595.74</v>
      </c>
      <c r="H138" s="205"/>
      <c r="I138" s="206"/>
      <c r="J138" s="211">
        <f>SUM(J135:L137)</f>
        <v>3402.49</v>
      </c>
      <c r="K138" s="291"/>
      <c r="L138" s="292"/>
      <c r="M138" s="102"/>
      <c r="N138" s="156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</row>
    <row r="139" spans="1:32" s="103" customFormat="1" ht="15.75" customHeight="1" x14ac:dyDescent="0.25">
      <c r="A139" s="5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</row>
    <row r="140" spans="1:32" s="103" customFormat="1" x14ac:dyDescent="0.25">
      <c r="A140" s="238" t="s">
        <v>206</v>
      </c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</row>
    <row r="141" spans="1:32" s="103" customFormat="1" x14ac:dyDescent="0.25">
      <c r="A141" s="5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</row>
    <row r="142" spans="1:32" s="103" customFormat="1" ht="15" customHeight="1" x14ac:dyDescent="0.25">
      <c r="A142" s="203" t="s">
        <v>5</v>
      </c>
      <c r="B142" s="188" t="s">
        <v>6</v>
      </c>
      <c r="C142" s="188" t="s">
        <v>57</v>
      </c>
      <c r="D142" s="188" t="s">
        <v>58</v>
      </c>
      <c r="E142" s="180" t="s">
        <v>75</v>
      </c>
      <c r="F142" s="181"/>
      <c r="G142" s="179" t="s">
        <v>118</v>
      </c>
      <c r="H142" s="228"/>
      <c r="I142" s="228"/>
      <c r="J142" s="228"/>
      <c r="K142" s="228"/>
      <c r="L142" s="228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</row>
    <row r="143" spans="1:32" s="103" customFormat="1" ht="30" customHeight="1" x14ac:dyDescent="0.25">
      <c r="A143" s="192"/>
      <c r="B143" s="192"/>
      <c r="C143" s="192"/>
      <c r="D143" s="192"/>
      <c r="E143" s="240"/>
      <c r="F143" s="241"/>
      <c r="G143" s="229" t="s">
        <v>142</v>
      </c>
      <c r="H143" s="230"/>
      <c r="I143" s="231"/>
      <c r="J143" s="229" t="s">
        <v>141</v>
      </c>
      <c r="K143" s="230"/>
      <c r="L143" s="231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</row>
    <row r="144" spans="1:32" s="106" customFormat="1" ht="11.25" customHeight="1" x14ac:dyDescent="0.2">
      <c r="A144" s="107" t="s">
        <v>34</v>
      </c>
      <c r="B144" s="108">
        <v>2</v>
      </c>
      <c r="C144" s="108">
        <v>3</v>
      </c>
      <c r="D144" s="108">
        <v>4</v>
      </c>
      <c r="E144" s="224">
        <v>5</v>
      </c>
      <c r="F144" s="224"/>
      <c r="G144" s="232">
        <v>6</v>
      </c>
      <c r="H144" s="233"/>
      <c r="I144" s="234"/>
      <c r="J144" s="232">
        <v>7</v>
      </c>
      <c r="K144" s="233"/>
      <c r="L144" s="234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</row>
    <row r="145" spans="1:32" s="106" customFormat="1" ht="15" hidden="1" customHeight="1" x14ac:dyDescent="0.2">
      <c r="A145" s="107"/>
      <c r="B145" s="108"/>
      <c r="C145" s="108"/>
      <c r="D145" s="108"/>
      <c r="E145" s="157"/>
      <c r="F145" s="158"/>
      <c r="G145" s="157"/>
      <c r="H145" s="159"/>
      <c r="I145" s="160"/>
      <c r="J145" s="157"/>
      <c r="K145" s="159"/>
      <c r="L145" s="160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</row>
    <row r="146" spans="1:32" s="103" customFormat="1" ht="15.75" customHeight="1" x14ac:dyDescent="0.25">
      <c r="A146" s="55" t="s">
        <v>34</v>
      </c>
      <c r="B146" s="43" t="s">
        <v>158</v>
      </c>
      <c r="C146" s="62"/>
      <c r="D146" s="161"/>
      <c r="E146" s="204">
        <v>0</v>
      </c>
      <c r="F146" s="219"/>
      <c r="G146" s="204">
        <v>851803.26</v>
      </c>
      <c r="H146" s="218"/>
      <c r="I146" s="219"/>
      <c r="J146" s="204">
        <v>0</v>
      </c>
      <c r="K146" s="218"/>
      <c r="L146" s="219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</row>
    <row r="147" spans="1:32" s="103" customFormat="1" x14ac:dyDescent="0.25">
      <c r="A147" s="55"/>
      <c r="B147" s="128" t="s">
        <v>12</v>
      </c>
      <c r="C147" s="62" t="s">
        <v>56</v>
      </c>
      <c r="D147" s="62" t="s">
        <v>56</v>
      </c>
      <c r="E147" s="211">
        <f>SUM(E146:F146)</f>
        <v>0</v>
      </c>
      <c r="F147" s="290"/>
      <c r="G147" s="211">
        <f>SUM(G146:I146)</f>
        <v>851803.26</v>
      </c>
      <c r="H147" s="221"/>
      <c r="I147" s="222"/>
      <c r="J147" s="211">
        <f>SUM(J146:L146)</f>
        <v>0</v>
      </c>
      <c r="K147" s="227"/>
      <c r="L147" s="194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</row>
    <row r="148" spans="1:32" s="103" customFormat="1" ht="30.6" customHeight="1" x14ac:dyDescent="0.25">
      <c r="A148" s="91"/>
      <c r="B148" s="67"/>
      <c r="C148" s="68"/>
      <c r="D148" s="68"/>
      <c r="E148" s="69"/>
      <c r="F148" s="69"/>
      <c r="G148" s="69"/>
      <c r="H148" s="89"/>
      <c r="I148" s="89"/>
      <c r="J148" s="69"/>
      <c r="K148" s="90"/>
      <c r="L148" s="90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</row>
    <row r="149" spans="1:32" s="103" customFormat="1" x14ac:dyDescent="0.25">
      <c r="A149" s="52" t="s">
        <v>242</v>
      </c>
      <c r="B149" s="67"/>
      <c r="C149" s="68"/>
      <c r="D149" s="68"/>
      <c r="E149" s="69"/>
      <c r="F149" s="69"/>
      <c r="G149" s="69"/>
      <c r="H149" s="89"/>
      <c r="I149" s="89"/>
      <c r="J149" s="69"/>
      <c r="K149" s="90"/>
      <c r="L149" s="90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</row>
    <row r="150" spans="1:32" s="103" customFormat="1" x14ac:dyDescent="0.25">
      <c r="A150" s="91"/>
      <c r="B150" s="67"/>
      <c r="C150" s="68"/>
      <c r="D150" s="68"/>
      <c r="E150" s="69"/>
      <c r="F150" s="69"/>
      <c r="G150" s="69"/>
      <c r="H150" s="89"/>
      <c r="I150" s="89"/>
      <c r="J150" s="69"/>
      <c r="K150" s="90"/>
      <c r="L150" s="90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</row>
    <row r="151" spans="1:32" s="103" customFormat="1" x14ac:dyDescent="0.25">
      <c r="A151" s="172" t="s">
        <v>243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</row>
    <row r="152" spans="1:32" s="103" customFormat="1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</row>
    <row r="153" spans="1:32" s="103" customFormat="1" x14ac:dyDescent="0.25">
      <c r="A153" s="188" t="s">
        <v>5</v>
      </c>
      <c r="B153" s="188" t="s">
        <v>31</v>
      </c>
      <c r="C153" s="188" t="s">
        <v>45</v>
      </c>
      <c r="D153" s="188" t="s">
        <v>46</v>
      </c>
      <c r="E153" s="188" t="s">
        <v>47</v>
      </c>
      <c r="F153" s="188" t="s">
        <v>9</v>
      </c>
      <c r="G153" s="179" t="s">
        <v>118</v>
      </c>
      <c r="H153" s="228"/>
      <c r="I153" s="228"/>
      <c r="J153" s="228"/>
      <c r="K153" s="228"/>
      <c r="L153" s="228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</row>
    <row r="154" spans="1:32" s="103" customFormat="1" x14ac:dyDescent="0.25">
      <c r="A154" s="191"/>
      <c r="B154" s="191"/>
      <c r="C154" s="191"/>
      <c r="D154" s="191"/>
      <c r="E154" s="191"/>
      <c r="F154" s="191"/>
      <c r="G154" s="179" t="s">
        <v>200</v>
      </c>
      <c r="H154" s="228"/>
      <c r="I154" s="228"/>
      <c r="J154" s="179" t="s">
        <v>201</v>
      </c>
      <c r="K154" s="228"/>
      <c r="L154" s="228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</row>
    <row r="155" spans="1:32" s="103" customFormat="1" ht="84" x14ac:dyDescent="0.25">
      <c r="A155" s="192"/>
      <c r="B155" s="192"/>
      <c r="C155" s="192"/>
      <c r="D155" s="192"/>
      <c r="E155" s="192"/>
      <c r="F155" s="192"/>
      <c r="G155" s="73" t="s">
        <v>45</v>
      </c>
      <c r="H155" s="74" t="s">
        <v>152</v>
      </c>
      <c r="I155" s="74" t="s">
        <v>150</v>
      </c>
      <c r="J155" s="73" t="s">
        <v>45</v>
      </c>
      <c r="K155" s="74" t="s">
        <v>134</v>
      </c>
      <c r="L155" s="74" t="s">
        <v>151</v>
      </c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</row>
    <row r="156" spans="1:32" s="116" customFormat="1" ht="10.15" customHeight="1" x14ac:dyDescent="0.25">
      <c r="A156" s="42">
        <v>1</v>
      </c>
      <c r="B156" s="42">
        <v>2</v>
      </c>
      <c r="C156" s="42">
        <v>3</v>
      </c>
      <c r="D156" s="42">
        <v>4</v>
      </c>
      <c r="E156" s="42">
        <v>5</v>
      </c>
      <c r="F156" s="42">
        <v>6</v>
      </c>
      <c r="G156" s="42">
        <v>7</v>
      </c>
      <c r="H156" s="120">
        <v>8</v>
      </c>
      <c r="I156" s="120">
        <v>9</v>
      </c>
      <c r="J156" s="42">
        <v>10</v>
      </c>
      <c r="K156" s="120">
        <v>11</v>
      </c>
      <c r="L156" s="120">
        <v>12</v>
      </c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</row>
    <row r="157" spans="1:32" s="103" customFormat="1" x14ac:dyDescent="0.25">
      <c r="A157" s="11">
        <v>1</v>
      </c>
      <c r="B157" s="92" t="s">
        <v>72</v>
      </c>
      <c r="C157" s="44">
        <f>F157/D157</f>
        <v>293270.01</v>
      </c>
      <c r="D157" s="44">
        <v>6.7</v>
      </c>
      <c r="E157" s="44">
        <v>0</v>
      </c>
      <c r="F157" s="44">
        <f>1322170.51+171841.46+470897.11</f>
        <v>1964909.08</v>
      </c>
      <c r="G157" s="93">
        <f>I157/H157</f>
        <v>261155</v>
      </c>
      <c r="H157" s="94">
        <v>6.58</v>
      </c>
      <c r="I157" s="94">
        <v>1718402.45</v>
      </c>
      <c r="J157" s="94">
        <f>C157</f>
        <v>293270.01</v>
      </c>
      <c r="K157" s="94">
        <f>D157</f>
        <v>6.7</v>
      </c>
      <c r="L157" s="94">
        <f>F157</f>
        <v>1964909.08</v>
      </c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</row>
    <row r="158" spans="1:32" s="103" customFormat="1" x14ac:dyDescent="0.25">
      <c r="A158" s="11">
        <v>2</v>
      </c>
      <c r="B158" s="92" t="s">
        <v>76</v>
      </c>
      <c r="C158" s="44">
        <f>F158/D158</f>
        <v>878.56</v>
      </c>
      <c r="D158" s="44">
        <v>2830</v>
      </c>
      <c r="E158" s="44">
        <v>0</v>
      </c>
      <c r="F158" s="44">
        <f>2460534.04+25804.66</f>
        <v>2486338.7000000002</v>
      </c>
      <c r="G158" s="94">
        <f>I158/H158</f>
        <v>1177.3900000000001</v>
      </c>
      <c r="H158" s="94">
        <v>2535.11</v>
      </c>
      <c r="I158" s="94">
        <v>2984805.88</v>
      </c>
      <c r="J158" s="94">
        <f t="shared" ref="J158" si="10">C158</f>
        <v>878.56</v>
      </c>
      <c r="K158" s="94">
        <f t="shared" ref="K158" si="11">D158</f>
        <v>2830</v>
      </c>
      <c r="L158" s="94">
        <f t="shared" ref="L158" si="12">F158</f>
        <v>2486338.7000000002</v>
      </c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</row>
    <row r="159" spans="1:32" s="168" customFormat="1" x14ac:dyDescent="0.25">
      <c r="A159" s="322" t="s">
        <v>12</v>
      </c>
      <c r="B159" s="323"/>
      <c r="C159" s="324" t="s">
        <v>13</v>
      </c>
      <c r="D159" s="324" t="s">
        <v>13</v>
      </c>
      <c r="E159" s="324" t="s">
        <v>13</v>
      </c>
      <c r="F159" s="325">
        <f>SUM(F157:F158)</f>
        <v>4451247.78</v>
      </c>
      <c r="G159" s="326" t="s">
        <v>13</v>
      </c>
      <c r="H159" s="326" t="s">
        <v>13</v>
      </c>
      <c r="I159" s="326">
        <f>SUM(I157:I158)</f>
        <v>4703208.33</v>
      </c>
      <c r="J159" s="326" t="s">
        <v>13</v>
      </c>
      <c r="K159" s="326" t="s">
        <v>13</v>
      </c>
      <c r="L159" s="326">
        <f>SUM(L157:L158)</f>
        <v>4451247.78</v>
      </c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</row>
    <row r="160" spans="1:32" s="103" customFormat="1" x14ac:dyDescent="0.25">
      <c r="A160" s="91"/>
      <c r="B160" s="67"/>
      <c r="C160" s="68"/>
      <c r="D160" s="68"/>
      <c r="E160" s="69"/>
      <c r="F160" s="69"/>
      <c r="G160" s="69"/>
      <c r="H160" s="89"/>
      <c r="I160" s="89"/>
      <c r="J160" s="69"/>
      <c r="K160" s="90"/>
      <c r="L160" s="90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</row>
    <row r="161" spans="1:32" s="103" customFormat="1" x14ac:dyDescent="0.25">
      <c r="A161" s="101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</row>
    <row r="162" spans="1:32" s="103" customFormat="1" x14ac:dyDescent="0.25">
      <c r="A162" s="101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</row>
    <row r="163" spans="1:32" s="103" customFormat="1" x14ac:dyDescent="0.25">
      <c r="A163" s="101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</row>
    <row r="164" spans="1:32" s="103" customFormat="1" x14ac:dyDescent="0.25">
      <c r="A164" s="101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</row>
    <row r="165" spans="1:32" s="103" customFormat="1" x14ac:dyDescent="0.25">
      <c r="A165" s="101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</row>
    <row r="166" spans="1:32" s="103" customFormat="1" x14ac:dyDescent="0.25">
      <c r="A166" s="101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</row>
    <row r="167" spans="1:32" s="103" customFormat="1" x14ac:dyDescent="0.25">
      <c r="A167" s="101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</row>
    <row r="168" spans="1:32" s="103" customFormat="1" x14ac:dyDescent="0.25">
      <c r="A168" s="101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</row>
    <row r="169" spans="1:32" s="103" customFormat="1" x14ac:dyDescent="0.25">
      <c r="A169" s="101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</row>
    <row r="170" spans="1:32" s="103" customFormat="1" x14ac:dyDescent="0.25">
      <c r="A170" s="101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</row>
    <row r="174" spans="1:32" x14ac:dyDescent="0.25">
      <c r="E174" s="286"/>
      <c r="F174" s="287"/>
      <c r="G174" s="286"/>
      <c r="H174" s="287"/>
      <c r="I174" s="287"/>
    </row>
    <row r="178" spans="6:6" x14ac:dyDescent="0.25">
      <c r="F178" s="10"/>
    </row>
  </sheetData>
  <mergeCells count="326">
    <mergeCell ref="B142:B143"/>
    <mergeCell ref="E142:F143"/>
    <mergeCell ref="D153:D155"/>
    <mergeCell ref="E153:E155"/>
    <mergeCell ref="F153:F155"/>
    <mergeCell ref="G153:L153"/>
    <mergeCell ref="G154:I154"/>
    <mergeCell ref="J154:L154"/>
    <mergeCell ref="G85:I85"/>
    <mergeCell ref="J85:L85"/>
    <mergeCell ref="E126:F126"/>
    <mergeCell ref="G126:I126"/>
    <mergeCell ref="J126:L126"/>
    <mergeCell ref="C136:D136"/>
    <mergeCell ref="E136:F136"/>
    <mergeCell ref="G136:I136"/>
    <mergeCell ref="J136:L136"/>
    <mergeCell ref="C135:D135"/>
    <mergeCell ref="E135:F135"/>
    <mergeCell ref="G135:I135"/>
    <mergeCell ref="G93:I93"/>
    <mergeCell ref="E94:F94"/>
    <mergeCell ref="J127:L127"/>
    <mergeCell ref="J128:L128"/>
    <mergeCell ref="E138:F138"/>
    <mergeCell ref="C137:D137"/>
    <mergeCell ref="C138:D138"/>
    <mergeCell ref="J138:L138"/>
    <mergeCell ref="J137:L137"/>
    <mergeCell ref="E144:F144"/>
    <mergeCell ref="E147:F147"/>
    <mergeCell ref="E146:F146"/>
    <mergeCell ref="D142:D143"/>
    <mergeCell ref="C142:C143"/>
    <mergeCell ref="G174:I174"/>
    <mergeCell ref="G86:I86"/>
    <mergeCell ref="J86:L86"/>
    <mergeCell ref="E174:F174"/>
    <mergeCell ref="E122:F122"/>
    <mergeCell ref="E134:F134"/>
    <mergeCell ref="G128:I128"/>
    <mergeCell ref="J133:L133"/>
    <mergeCell ref="G134:I134"/>
    <mergeCell ref="J134:L134"/>
    <mergeCell ref="E132:F133"/>
    <mergeCell ref="J93:L93"/>
    <mergeCell ref="G94:I94"/>
    <mergeCell ref="G122:I122"/>
    <mergeCell ref="J122:L122"/>
    <mergeCell ref="A140:L140"/>
    <mergeCell ref="A138:B138"/>
    <mergeCell ref="A159:B159"/>
    <mergeCell ref="A151:L151"/>
    <mergeCell ref="A153:A155"/>
    <mergeCell ref="B153:B155"/>
    <mergeCell ref="C153:C155"/>
    <mergeCell ref="C132:D133"/>
    <mergeCell ref="A132:A133"/>
    <mergeCell ref="A87:B87"/>
    <mergeCell ref="B91:B92"/>
    <mergeCell ref="A91:A92"/>
    <mergeCell ref="E91:F92"/>
    <mergeCell ref="E125:F125"/>
    <mergeCell ref="G125:I125"/>
    <mergeCell ref="J125:L125"/>
    <mergeCell ref="J115:L115"/>
    <mergeCell ref="G119:L119"/>
    <mergeCell ref="G120:I120"/>
    <mergeCell ref="J120:L120"/>
    <mergeCell ref="G121:I121"/>
    <mergeCell ref="A115:B115"/>
    <mergeCell ref="E115:F115"/>
    <mergeCell ref="C119:C120"/>
    <mergeCell ref="A117:L117"/>
    <mergeCell ref="D91:D92"/>
    <mergeCell ref="E95:F95"/>
    <mergeCell ref="A109:L109"/>
    <mergeCell ref="G100:I100"/>
    <mergeCell ref="J100:L100"/>
    <mergeCell ref="G111:L111"/>
    <mergeCell ref="G99:L99"/>
    <mergeCell ref="E123:F123"/>
    <mergeCell ref="A74:B74"/>
    <mergeCell ref="E74:F74"/>
    <mergeCell ref="G82:L82"/>
    <mergeCell ref="G83:I83"/>
    <mergeCell ref="J83:L83"/>
    <mergeCell ref="G84:I84"/>
    <mergeCell ref="J84:L84"/>
    <mergeCell ref="F82:F83"/>
    <mergeCell ref="E82:E83"/>
    <mergeCell ref="D82:D83"/>
    <mergeCell ref="C82:C83"/>
    <mergeCell ref="B82:B83"/>
    <mergeCell ref="A82:A83"/>
    <mergeCell ref="A80:L80"/>
    <mergeCell ref="J74:L74"/>
    <mergeCell ref="G74:I74"/>
    <mergeCell ref="E64:F64"/>
    <mergeCell ref="E54:F54"/>
    <mergeCell ref="E55:F55"/>
    <mergeCell ref="D52:D53"/>
    <mergeCell ref="J45:L45"/>
    <mergeCell ref="G55:I55"/>
    <mergeCell ref="J55:L55"/>
    <mergeCell ref="B52:B53"/>
    <mergeCell ref="A52:A53"/>
    <mergeCell ref="G63:I63"/>
    <mergeCell ref="J63:L63"/>
    <mergeCell ref="G54:I54"/>
    <mergeCell ref="J54:L54"/>
    <mergeCell ref="G56:I56"/>
    <mergeCell ref="J56:L56"/>
    <mergeCell ref="G61:L61"/>
    <mergeCell ref="B32:D32"/>
    <mergeCell ref="A56:B56"/>
    <mergeCell ref="E56:F56"/>
    <mergeCell ref="E46:F46"/>
    <mergeCell ref="A46:B46"/>
    <mergeCell ref="E52:F53"/>
    <mergeCell ref="G52:L52"/>
    <mergeCell ref="G53:I53"/>
    <mergeCell ref="A58:L58"/>
    <mergeCell ref="B34:D34"/>
    <mergeCell ref="J34:L34"/>
    <mergeCell ref="G35:I35"/>
    <mergeCell ref="J35:L35"/>
    <mergeCell ref="G36:I36"/>
    <mergeCell ref="J36:L36"/>
    <mergeCell ref="G37:I37"/>
    <mergeCell ref="J37:L37"/>
    <mergeCell ref="G42:L42"/>
    <mergeCell ref="G32:I32"/>
    <mergeCell ref="J32:L32"/>
    <mergeCell ref="G33:I33"/>
    <mergeCell ref="J33:L33"/>
    <mergeCell ref="J53:L53"/>
    <mergeCell ref="J65:L65"/>
    <mergeCell ref="E61:F62"/>
    <mergeCell ref="D61:D62"/>
    <mergeCell ref="C61:C62"/>
    <mergeCell ref="B61:B62"/>
    <mergeCell ref="G62:I62"/>
    <mergeCell ref="A61:A62"/>
    <mergeCell ref="J72:L72"/>
    <mergeCell ref="G73:I73"/>
    <mergeCell ref="J73:L73"/>
    <mergeCell ref="G70:L70"/>
    <mergeCell ref="G71:I71"/>
    <mergeCell ref="J71:L71"/>
    <mergeCell ref="G72:I72"/>
    <mergeCell ref="C70:C71"/>
    <mergeCell ref="E72:F72"/>
    <mergeCell ref="A65:B65"/>
    <mergeCell ref="J62:L62"/>
    <mergeCell ref="B70:B71"/>
    <mergeCell ref="E70:F71"/>
    <mergeCell ref="D70:D71"/>
    <mergeCell ref="A67:L67"/>
    <mergeCell ref="E65:F65"/>
    <mergeCell ref="E63:F63"/>
    <mergeCell ref="A1:L1"/>
    <mergeCell ref="A10:L10"/>
    <mergeCell ref="A48:L48"/>
    <mergeCell ref="A39:L39"/>
    <mergeCell ref="A19:L19"/>
    <mergeCell ref="G12:L12"/>
    <mergeCell ref="G13:I13"/>
    <mergeCell ref="J13:L13"/>
    <mergeCell ref="G14:I14"/>
    <mergeCell ref="G26:I26"/>
    <mergeCell ref="J26:L26"/>
    <mergeCell ref="G21:L21"/>
    <mergeCell ref="G22:I22"/>
    <mergeCell ref="G24:I24"/>
    <mergeCell ref="J22:L22"/>
    <mergeCell ref="G23:I23"/>
    <mergeCell ref="J25:L25"/>
    <mergeCell ref="G27:I27"/>
    <mergeCell ref="G15:I15"/>
    <mergeCell ref="J15:L15"/>
    <mergeCell ref="E45:F45"/>
    <mergeCell ref="B27:D27"/>
    <mergeCell ref="B28:D28"/>
    <mergeCell ref="F3:F4"/>
    <mergeCell ref="G3:L3"/>
    <mergeCell ref="G4:I4"/>
    <mergeCell ref="J4:L4"/>
    <mergeCell ref="G5:I5"/>
    <mergeCell ref="J5:L5"/>
    <mergeCell ref="G6:I6"/>
    <mergeCell ref="J6:L6"/>
    <mergeCell ref="G7:I7"/>
    <mergeCell ref="J7:L7"/>
    <mergeCell ref="J27:L27"/>
    <mergeCell ref="G28:I28"/>
    <mergeCell ref="J28:L28"/>
    <mergeCell ref="G29:I29"/>
    <mergeCell ref="J29:L29"/>
    <mergeCell ref="J30:L30"/>
    <mergeCell ref="G31:I31"/>
    <mergeCell ref="J31:L31"/>
    <mergeCell ref="J23:L23"/>
    <mergeCell ref="J24:L24"/>
    <mergeCell ref="J14:L14"/>
    <mergeCell ref="J16:L16"/>
    <mergeCell ref="B26:D26"/>
    <mergeCell ref="A3:A4"/>
    <mergeCell ref="G25:I25"/>
    <mergeCell ref="E3:E4"/>
    <mergeCell ref="D3:D4"/>
    <mergeCell ref="C3:C4"/>
    <mergeCell ref="B3:B4"/>
    <mergeCell ref="F21:F22"/>
    <mergeCell ref="A16:B16"/>
    <mergeCell ref="B23:D23"/>
    <mergeCell ref="B24:D24"/>
    <mergeCell ref="D12:D13"/>
    <mergeCell ref="G16:I16"/>
    <mergeCell ref="F12:F13"/>
    <mergeCell ref="B25:D25"/>
    <mergeCell ref="E21:E22"/>
    <mergeCell ref="B21:D22"/>
    <mergeCell ref="A21:A22"/>
    <mergeCell ref="C12:C13"/>
    <mergeCell ref="B12:B13"/>
    <mergeCell ref="A12:A13"/>
    <mergeCell ref="A7:B7"/>
    <mergeCell ref="E12:E13"/>
    <mergeCell ref="J46:L46"/>
    <mergeCell ref="G46:I46"/>
    <mergeCell ref="C52:C53"/>
    <mergeCell ref="C42:C43"/>
    <mergeCell ref="B42:B43"/>
    <mergeCell ref="A42:A43"/>
    <mergeCell ref="G43:I43"/>
    <mergeCell ref="E44:F44"/>
    <mergeCell ref="G45:I45"/>
    <mergeCell ref="B29:D29"/>
    <mergeCell ref="B30:D30"/>
    <mergeCell ref="B31:D31"/>
    <mergeCell ref="E42:F43"/>
    <mergeCell ref="D42:D43"/>
    <mergeCell ref="B36:D36"/>
    <mergeCell ref="A37:D37"/>
    <mergeCell ref="B35:D35"/>
    <mergeCell ref="B33:D33"/>
    <mergeCell ref="G30:I30"/>
    <mergeCell ref="J43:L43"/>
    <mergeCell ref="G44:I44"/>
    <mergeCell ref="J44:L44"/>
    <mergeCell ref="G34:I34"/>
    <mergeCell ref="E73:F73"/>
    <mergeCell ref="A130:L130"/>
    <mergeCell ref="G132:L132"/>
    <mergeCell ref="G133:I133"/>
    <mergeCell ref="B132:B133"/>
    <mergeCell ref="J135:L135"/>
    <mergeCell ref="A142:A143"/>
    <mergeCell ref="A97:L97"/>
    <mergeCell ref="E127:F127"/>
    <mergeCell ref="G138:I138"/>
    <mergeCell ref="E137:F137"/>
    <mergeCell ref="G137:I137"/>
    <mergeCell ref="E121:F121"/>
    <mergeCell ref="D119:D120"/>
    <mergeCell ref="E114:F114"/>
    <mergeCell ref="E119:F120"/>
    <mergeCell ref="G113:I113"/>
    <mergeCell ref="J121:L121"/>
    <mergeCell ref="A77:L77"/>
    <mergeCell ref="J95:L95"/>
    <mergeCell ref="E111:F112"/>
    <mergeCell ref="E93:F93"/>
    <mergeCell ref="A95:B95"/>
    <mergeCell ref="C91:C92"/>
    <mergeCell ref="A70:A71"/>
    <mergeCell ref="G64:I64"/>
    <mergeCell ref="J64:L64"/>
    <mergeCell ref="G65:I65"/>
    <mergeCell ref="J147:L147"/>
    <mergeCell ref="G142:L142"/>
    <mergeCell ref="G143:I143"/>
    <mergeCell ref="J143:L143"/>
    <mergeCell ref="G144:I144"/>
    <mergeCell ref="J144:L144"/>
    <mergeCell ref="G147:I147"/>
    <mergeCell ref="G146:I146"/>
    <mergeCell ref="J146:L146"/>
    <mergeCell ref="J94:L94"/>
    <mergeCell ref="J113:L113"/>
    <mergeCell ref="G87:I87"/>
    <mergeCell ref="J87:L87"/>
    <mergeCell ref="G91:L91"/>
    <mergeCell ref="G92:I92"/>
    <mergeCell ref="J92:L92"/>
    <mergeCell ref="A89:L89"/>
    <mergeCell ref="B111:B112"/>
    <mergeCell ref="D99:D101"/>
    <mergeCell ref="G95:I95"/>
    <mergeCell ref="A107:B107"/>
    <mergeCell ref="E113:F113"/>
    <mergeCell ref="A111:A112"/>
    <mergeCell ref="C99:C101"/>
    <mergeCell ref="B99:B101"/>
    <mergeCell ref="A99:A101"/>
    <mergeCell ref="D111:D112"/>
    <mergeCell ref="C111:C112"/>
    <mergeCell ref="F99:F101"/>
    <mergeCell ref="E99:E101"/>
    <mergeCell ref="B119:B120"/>
    <mergeCell ref="A119:A120"/>
    <mergeCell ref="J124:L124"/>
    <mergeCell ref="C134:D134"/>
    <mergeCell ref="A128:B128"/>
    <mergeCell ref="E128:F128"/>
    <mergeCell ref="E124:F124"/>
    <mergeCell ref="G112:I112"/>
    <mergeCell ref="J112:L112"/>
    <mergeCell ref="G123:I123"/>
    <mergeCell ref="J123:L123"/>
    <mergeCell ref="G127:I127"/>
    <mergeCell ref="G124:I124"/>
    <mergeCell ref="G114:I114"/>
    <mergeCell ref="J114:L114"/>
    <mergeCell ref="G115:I115"/>
  </mergeCells>
  <pageMargins left="0.39370078740157483" right="0.23622047244094491" top="0.59055118110236227" bottom="0.19685039370078741" header="0.19685039370078741" footer="0.11811023622047245"/>
  <pageSetup paperSize="9" scale="75" orientation="portrait" r:id="rId1"/>
  <headerFooter>
    <oddHeader>&amp;CСубсидия на финансовое обеспечение выполнения муниципального задания за счет средств бюджета городского округа Мытищи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Z316"/>
  <sheetViews>
    <sheetView view="pageBreakPreview" topLeftCell="A61" zoomScale="85" zoomScaleNormal="100" zoomScaleSheetLayoutView="85" zoomScalePageLayoutView="85" workbookViewId="0">
      <selection activeCell="D95" sqref="D95:D96"/>
    </sheetView>
  </sheetViews>
  <sheetFormatPr defaultColWidth="9.140625" defaultRowHeight="15" x14ac:dyDescent="0.25"/>
  <cols>
    <col min="1" max="1" width="3.85546875" style="134" customWidth="1"/>
    <col min="2" max="2" width="34.7109375" customWidth="1"/>
    <col min="3" max="3" width="12.7109375" customWidth="1"/>
    <col min="4" max="4" width="12.28515625" customWidth="1"/>
    <col min="5" max="5" width="8" customWidth="1"/>
    <col min="6" max="6" width="3.7109375" customWidth="1"/>
    <col min="7" max="7" width="14.5703125" customWidth="1"/>
    <col min="8" max="8" width="5.42578125" customWidth="1"/>
    <col min="9" max="9" width="5.140625" customWidth="1"/>
    <col min="10" max="11" width="8.28515625" customWidth="1"/>
    <col min="12" max="12" width="7.140625" customWidth="1"/>
    <col min="13" max="13" width="9.85546875" customWidth="1"/>
    <col min="14" max="14" width="19.85546875" style="97" customWidth="1"/>
    <col min="15" max="15" width="12.42578125" style="10" bestFit="1" customWidth="1"/>
    <col min="16" max="16" width="13" style="10" customWidth="1"/>
    <col min="17" max="26" width="9.140625" style="10"/>
  </cols>
  <sheetData>
    <row r="1" spans="1:26" x14ac:dyDescent="0.25">
      <c r="A1" s="327" t="s">
        <v>207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26" ht="15" customHeight="1" x14ac:dyDescent="0.25">
      <c r="A2" s="328" t="s">
        <v>208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26" ht="8.25" customHeight="1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26" x14ac:dyDescent="0.25">
      <c r="A4" s="330" t="s">
        <v>114</v>
      </c>
      <c r="B4" s="331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</row>
    <row r="5" spans="1:26" ht="7.5" customHeight="1" x14ac:dyDescent="0.25">
      <c r="A5" s="332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</row>
    <row r="6" spans="1:26" ht="17.25" customHeight="1" x14ac:dyDescent="0.25">
      <c r="A6" s="333" t="s">
        <v>5</v>
      </c>
      <c r="B6" s="334" t="s">
        <v>6</v>
      </c>
      <c r="C6" s="334" t="s">
        <v>92</v>
      </c>
      <c r="D6" s="334" t="s">
        <v>7</v>
      </c>
      <c r="E6" s="335" t="s">
        <v>93</v>
      </c>
      <c r="F6" s="336"/>
      <c r="G6" s="334" t="s">
        <v>9</v>
      </c>
      <c r="H6" s="337" t="s">
        <v>118</v>
      </c>
      <c r="I6" s="338"/>
      <c r="J6" s="338"/>
      <c r="K6" s="338"/>
      <c r="L6" s="338"/>
      <c r="M6" s="338"/>
    </row>
    <row r="7" spans="1:26" ht="66" customHeight="1" x14ac:dyDescent="0.25">
      <c r="A7" s="339"/>
      <c r="B7" s="340"/>
      <c r="C7" s="340"/>
      <c r="D7" s="340"/>
      <c r="E7" s="341"/>
      <c r="F7" s="342"/>
      <c r="G7" s="340"/>
      <c r="H7" s="322" t="s">
        <v>253</v>
      </c>
      <c r="I7" s="343"/>
      <c r="J7" s="344"/>
      <c r="K7" s="322" t="s">
        <v>254</v>
      </c>
      <c r="L7" s="343"/>
      <c r="M7" s="344"/>
    </row>
    <row r="8" spans="1:26" s="100" customFormat="1" ht="11.25" customHeight="1" x14ac:dyDescent="0.2">
      <c r="A8" s="345">
        <v>1</v>
      </c>
      <c r="B8" s="345">
        <v>2</v>
      </c>
      <c r="C8" s="345">
        <v>3</v>
      </c>
      <c r="D8" s="345">
        <v>4</v>
      </c>
      <c r="E8" s="337">
        <v>5</v>
      </c>
      <c r="F8" s="337"/>
      <c r="G8" s="345">
        <v>6</v>
      </c>
      <c r="H8" s="346">
        <v>7</v>
      </c>
      <c r="I8" s="347"/>
      <c r="J8" s="348"/>
      <c r="K8" s="346">
        <v>8</v>
      </c>
      <c r="L8" s="347"/>
      <c r="M8" s="348"/>
      <c r="N8" s="98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6.45" customHeight="1" x14ac:dyDescent="0.25">
      <c r="A9" s="349">
        <v>1</v>
      </c>
      <c r="B9" s="350" t="s">
        <v>100</v>
      </c>
      <c r="C9" s="324">
        <v>37228.5</v>
      </c>
      <c r="D9" s="349">
        <v>1</v>
      </c>
      <c r="E9" s="337">
        <v>10</v>
      </c>
      <c r="F9" s="337"/>
      <c r="G9" s="324">
        <f>582167.36+1152073.73</f>
        <v>1734241.09</v>
      </c>
      <c r="H9" s="351">
        <v>326675.06</v>
      </c>
      <c r="I9" s="352"/>
      <c r="J9" s="353"/>
      <c r="K9" s="351">
        <f>G9</f>
        <v>1734241.09</v>
      </c>
      <c r="L9" s="352"/>
      <c r="M9" s="353"/>
    </row>
    <row r="10" spans="1:26" x14ac:dyDescent="0.25">
      <c r="A10" s="354">
        <v>2</v>
      </c>
      <c r="B10" s="350" t="s">
        <v>161</v>
      </c>
      <c r="C10" s="324"/>
      <c r="D10" s="349"/>
      <c r="E10" s="322"/>
      <c r="F10" s="323"/>
      <c r="G10" s="324">
        <v>0</v>
      </c>
      <c r="H10" s="351">
        <v>3150017.94</v>
      </c>
      <c r="I10" s="355"/>
      <c r="J10" s="356"/>
      <c r="K10" s="351">
        <f t="shared" ref="K10" si="0">G10</f>
        <v>0</v>
      </c>
      <c r="L10" s="355"/>
      <c r="M10" s="356"/>
    </row>
    <row r="11" spans="1:26" x14ac:dyDescent="0.25">
      <c r="A11" s="322" t="s">
        <v>12</v>
      </c>
      <c r="B11" s="323"/>
      <c r="C11" s="349" t="s">
        <v>13</v>
      </c>
      <c r="D11" s="349" t="s">
        <v>13</v>
      </c>
      <c r="E11" s="337" t="s">
        <v>13</v>
      </c>
      <c r="F11" s="337"/>
      <c r="G11" s="325">
        <f>SUM(G9:G10)</f>
        <v>1734241.09</v>
      </c>
      <c r="H11" s="357">
        <f>SUM(H9:J10)</f>
        <v>3476693</v>
      </c>
      <c r="I11" s="352"/>
      <c r="J11" s="353"/>
      <c r="K11" s="357">
        <f>G11</f>
        <v>1734241.09</v>
      </c>
      <c r="L11" s="358"/>
      <c r="M11" s="359"/>
    </row>
    <row r="12" spans="1:26" x14ac:dyDescent="0.25">
      <c r="A12" s="329"/>
      <c r="B12" s="329"/>
      <c r="C12" s="329"/>
      <c r="D12" s="329"/>
      <c r="E12" s="329"/>
      <c r="F12" s="329"/>
      <c r="G12" s="360"/>
      <c r="H12" s="360"/>
      <c r="I12" s="361"/>
      <c r="J12" s="361"/>
      <c r="K12" s="360"/>
      <c r="L12" s="362"/>
      <c r="M12" s="362"/>
    </row>
    <row r="13" spans="1:26" ht="15" customHeight="1" x14ac:dyDescent="0.25">
      <c r="A13" s="363" t="s">
        <v>179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P13" s="10">
        <f>H131+J151+H181+H211+H247+H270+J281+H99+H91</f>
        <v>8028928.5</v>
      </c>
    </row>
    <row r="14" spans="1:26" x14ac:dyDescent="0.25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</row>
    <row r="15" spans="1:26" ht="15" customHeight="1" x14ac:dyDescent="0.25">
      <c r="A15" s="334" t="s">
        <v>5</v>
      </c>
      <c r="B15" s="334" t="s">
        <v>6</v>
      </c>
      <c r="C15" s="334" t="s">
        <v>154</v>
      </c>
      <c r="D15" s="334" t="s">
        <v>246</v>
      </c>
      <c r="E15" s="335" t="s">
        <v>8</v>
      </c>
      <c r="F15" s="336"/>
      <c r="G15" s="334" t="s">
        <v>9</v>
      </c>
      <c r="H15" s="337" t="s">
        <v>118</v>
      </c>
      <c r="I15" s="338"/>
      <c r="J15" s="338"/>
      <c r="K15" s="338"/>
      <c r="L15" s="338"/>
      <c r="M15" s="338"/>
    </row>
    <row r="16" spans="1:26" ht="69" customHeight="1" x14ac:dyDescent="0.25">
      <c r="A16" s="340"/>
      <c r="B16" s="340"/>
      <c r="C16" s="340"/>
      <c r="D16" s="340"/>
      <c r="E16" s="341"/>
      <c r="F16" s="342"/>
      <c r="G16" s="340"/>
      <c r="H16" s="322" t="s">
        <v>253</v>
      </c>
      <c r="I16" s="343"/>
      <c r="J16" s="344"/>
      <c r="K16" s="322" t="s">
        <v>254</v>
      </c>
      <c r="L16" s="343"/>
      <c r="M16" s="344"/>
    </row>
    <row r="17" spans="1:26" s="100" customFormat="1" ht="15" customHeight="1" x14ac:dyDescent="0.2">
      <c r="A17" s="345">
        <v>1</v>
      </c>
      <c r="B17" s="345">
        <v>2</v>
      </c>
      <c r="C17" s="345">
        <v>3</v>
      </c>
      <c r="D17" s="345">
        <v>4</v>
      </c>
      <c r="E17" s="346">
        <v>5</v>
      </c>
      <c r="F17" s="364"/>
      <c r="G17" s="345">
        <v>6</v>
      </c>
      <c r="H17" s="346">
        <v>7</v>
      </c>
      <c r="I17" s="347"/>
      <c r="J17" s="348"/>
      <c r="K17" s="346">
        <v>8</v>
      </c>
      <c r="L17" s="347"/>
      <c r="M17" s="348"/>
      <c r="N17" s="98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x14ac:dyDescent="0.25">
      <c r="A18" s="349">
        <v>1</v>
      </c>
      <c r="B18" s="350" t="s">
        <v>163</v>
      </c>
      <c r="C18" s="324">
        <v>0</v>
      </c>
      <c r="D18" s="349">
        <v>0</v>
      </c>
      <c r="E18" s="346">
        <v>0</v>
      </c>
      <c r="F18" s="364"/>
      <c r="G18" s="324">
        <v>0</v>
      </c>
      <c r="H18" s="351">
        <v>0</v>
      </c>
      <c r="I18" s="352"/>
      <c r="J18" s="353"/>
      <c r="K18" s="351">
        <f t="shared" ref="K18:K19" si="1">G18</f>
        <v>0</v>
      </c>
      <c r="L18" s="352"/>
      <c r="M18" s="353"/>
    </row>
    <row r="19" spans="1:26" x14ac:dyDescent="0.25">
      <c r="A19" s="322" t="s">
        <v>12</v>
      </c>
      <c r="B19" s="323"/>
      <c r="C19" s="349" t="s">
        <v>13</v>
      </c>
      <c r="D19" s="349" t="s">
        <v>13</v>
      </c>
      <c r="E19" s="346" t="s">
        <v>13</v>
      </c>
      <c r="F19" s="364"/>
      <c r="G19" s="325">
        <f>SUM(G18:G18)</f>
        <v>0</v>
      </c>
      <c r="H19" s="357">
        <f>SUM(H18)</f>
        <v>0</v>
      </c>
      <c r="I19" s="358"/>
      <c r="J19" s="359"/>
      <c r="K19" s="357">
        <f t="shared" si="1"/>
        <v>0</v>
      </c>
      <c r="L19" s="358"/>
      <c r="M19" s="359"/>
    </row>
    <row r="20" spans="1:26" ht="17.25" customHeight="1" x14ac:dyDescent="0.25">
      <c r="A20" s="365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26" s="103" customFormat="1" ht="15" customHeight="1" x14ac:dyDescent="0.25">
      <c r="A21" s="363" t="s">
        <v>180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101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s="103" customFormat="1" ht="9.75" customHeight="1" x14ac:dyDescent="0.25">
      <c r="A22" s="332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101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s="103" customFormat="1" ht="17.25" customHeight="1" x14ac:dyDescent="0.25">
      <c r="A23" s="334" t="s">
        <v>5</v>
      </c>
      <c r="B23" s="334" t="s">
        <v>6</v>
      </c>
      <c r="C23" s="334" t="s">
        <v>10</v>
      </c>
      <c r="D23" s="334" t="s">
        <v>11</v>
      </c>
      <c r="E23" s="335" t="s">
        <v>156</v>
      </c>
      <c r="F23" s="336"/>
      <c r="G23" s="334" t="s">
        <v>9</v>
      </c>
      <c r="H23" s="337" t="s">
        <v>118</v>
      </c>
      <c r="I23" s="338"/>
      <c r="J23" s="338"/>
      <c r="K23" s="338"/>
      <c r="L23" s="338"/>
      <c r="M23" s="338"/>
      <c r="N23" s="101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s="103" customFormat="1" ht="52.15" customHeight="1" x14ac:dyDescent="0.25">
      <c r="A24" s="340"/>
      <c r="B24" s="340"/>
      <c r="C24" s="340"/>
      <c r="D24" s="340"/>
      <c r="E24" s="341"/>
      <c r="F24" s="342"/>
      <c r="G24" s="340"/>
      <c r="H24" s="322" t="s">
        <v>253</v>
      </c>
      <c r="I24" s="343"/>
      <c r="J24" s="344"/>
      <c r="K24" s="322" t="s">
        <v>254</v>
      </c>
      <c r="L24" s="343"/>
      <c r="M24" s="344"/>
      <c r="N24" s="101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s="106" customFormat="1" ht="11.25" x14ac:dyDescent="0.2">
      <c r="A25" s="345">
        <v>1</v>
      </c>
      <c r="B25" s="345">
        <v>2</v>
      </c>
      <c r="C25" s="345">
        <v>3</v>
      </c>
      <c r="D25" s="345">
        <v>4</v>
      </c>
      <c r="E25" s="346">
        <v>5</v>
      </c>
      <c r="F25" s="364"/>
      <c r="G25" s="345">
        <v>6</v>
      </c>
      <c r="H25" s="346">
        <v>7</v>
      </c>
      <c r="I25" s="347"/>
      <c r="J25" s="348"/>
      <c r="K25" s="346">
        <v>8</v>
      </c>
      <c r="L25" s="347"/>
      <c r="M25" s="348"/>
      <c r="N25" s="104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s="103" customFormat="1" x14ac:dyDescent="0.25">
      <c r="A26" s="350"/>
      <c r="B26" s="349"/>
      <c r="C26" s="349">
        <v>0</v>
      </c>
      <c r="D26" s="349">
        <v>0</v>
      </c>
      <c r="E26" s="346">
        <v>0</v>
      </c>
      <c r="F26" s="364"/>
      <c r="G26" s="324">
        <f>C26*D26*E26</f>
        <v>0</v>
      </c>
      <c r="H26" s="351">
        <v>0</v>
      </c>
      <c r="I26" s="343"/>
      <c r="J26" s="344"/>
      <c r="K26" s="351">
        <v>0</v>
      </c>
      <c r="L26" s="343"/>
      <c r="M26" s="344"/>
      <c r="N26" s="101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s="103" customFormat="1" x14ac:dyDescent="0.25">
      <c r="A27" s="322" t="s">
        <v>12</v>
      </c>
      <c r="B27" s="323"/>
      <c r="C27" s="349" t="s">
        <v>13</v>
      </c>
      <c r="D27" s="349" t="s">
        <v>13</v>
      </c>
      <c r="E27" s="346" t="s">
        <v>13</v>
      </c>
      <c r="F27" s="364"/>
      <c r="G27" s="325">
        <f>SUM(G26:G26)</f>
        <v>0</v>
      </c>
      <c r="H27" s="357">
        <v>0</v>
      </c>
      <c r="I27" s="343"/>
      <c r="J27" s="344"/>
      <c r="K27" s="357">
        <v>0</v>
      </c>
      <c r="L27" s="343"/>
      <c r="M27" s="344"/>
      <c r="N27" s="101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s="103" customFormat="1" x14ac:dyDescent="0.25">
      <c r="A28" s="329"/>
      <c r="B28" s="329"/>
      <c r="C28" s="329"/>
      <c r="D28" s="329"/>
      <c r="E28" s="329"/>
      <c r="F28" s="329"/>
      <c r="G28" s="360"/>
      <c r="H28" s="360"/>
      <c r="I28" s="360"/>
      <c r="J28" s="360"/>
      <c r="K28" s="360"/>
      <c r="L28" s="360"/>
      <c r="M28" s="360"/>
      <c r="N28" s="101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s="103" customFormat="1" x14ac:dyDescent="0.25">
      <c r="A29" s="367" t="s">
        <v>287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101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s="103" customFormat="1" x14ac:dyDescent="0.25">
      <c r="A30" s="330" t="s">
        <v>285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101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s="103" customFormat="1" x14ac:dyDescent="0.25">
      <c r="A31" s="330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101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s="103" customFormat="1" ht="13.9" customHeight="1" x14ac:dyDescent="0.25">
      <c r="A32" s="368" t="s">
        <v>5</v>
      </c>
      <c r="B32" s="334" t="s">
        <v>31</v>
      </c>
      <c r="C32" s="334" t="s">
        <v>36</v>
      </c>
      <c r="D32" s="334" t="s">
        <v>32</v>
      </c>
      <c r="E32" s="335" t="s">
        <v>33</v>
      </c>
      <c r="F32" s="369"/>
      <c r="G32" s="336"/>
      <c r="H32" s="337" t="s">
        <v>118</v>
      </c>
      <c r="I32" s="338"/>
      <c r="J32" s="338"/>
      <c r="K32" s="338"/>
      <c r="L32" s="338"/>
      <c r="M32" s="338"/>
      <c r="N32" s="101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s="103" customFormat="1" ht="26.45" customHeight="1" x14ac:dyDescent="0.25">
      <c r="A33" s="340"/>
      <c r="B33" s="340"/>
      <c r="C33" s="340"/>
      <c r="D33" s="340"/>
      <c r="E33" s="370"/>
      <c r="F33" s="371"/>
      <c r="G33" s="372"/>
      <c r="H33" s="322" t="s">
        <v>253</v>
      </c>
      <c r="I33" s="343"/>
      <c r="J33" s="344"/>
      <c r="K33" s="322" t="s">
        <v>254</v>
      </c>
      <c r="L33" s="343"/>
      <c r="M33" s="344"/>
      <c r="N33" s="101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s="103" customFormat="1" x14ac:dyDescent="0.25">
      <c r="A34" s="373" t="s">
        <v>34</v>
      </c>
      <c r="B34" s="374">
        <v>2</v>
      </c>
      <c r="C34" s="374">
        <v>3</v>
      </c>
      <c r="D34" s="374">
        <v>4</v>
      </c>
      <c r="E34" s="375">
        <v>5</v>
      </c>
      <c r="F34" s="375"/>
      <c r="G34" s="375"/>
      <c r="H34" s="376">
        <v>6</v>
      </c>
      <c r="I34" s="377"/>
      <c r="J34" s="378"/>
      <c r="K34" s="376">
        <v>7</v>
      </c>
      <c r="L34" s="377"/>
      <c r="M34" s="378"/>
      <c r="N34" s="101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s="103" customFormat="1" x14ac:dyDescent="0.25">
      <c r="A35" s="379"/>
      <c r="B35" s="350"/>
      <c r="C35" s="380">
        <v>0</v>
      </c>
      <c r="D35" s="380">
        <v>0</v>
      </c>
      <c r="E35" s="381">
        <v>0</v>
      </c>
      <c r="F35" s="381"/>
      <c r="G35" s="381"/>
      <c r="H35" s="382">
        <v>0</v>
      </c>
      <c r="I35" s="383"/>
      <c r="J35" s="384"/>
      <c r="K35" s="382">
        <f>E35</f>
        <v>0</v>
      </c>
      <c r="L35" s="383"/>
      <c r="M35" s="384"/>
      <c r="N35" s="101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s="103" customFormat="1" x14ac:dyDescent="0.25">
      <c r="A36" s="385" t="s">
        <v>12</v>
      </c>
      <c r="B36" s="386"/>
      <c r="C36" s="387" t="s">
        <v>13</v>
      </c>
      <c r="D36" s="387" t="s">
        <v>13</v>
      </c>
      <c r="E36" s="388">
        <f>SUM(E35:G35)</f>
        <v>0</v>
      </c>
      <c r="F36" s="388"/>
      <c r="G36" s="388"/>
      <c r="H36" s="389">
        <v>0</v>
      </c>
      <c r="I36" s="383"/>
      <c r="J36" s="384"/>
      <c r="K36" s="389">
        <f>K35</f>
        <v>0</v>
      </c>
      <c r="L36" s="383"/>
      <c r="M36" s="384"/>
      <c r="N36" s="101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x14ac:dyDescent="0.25">
      <c r="A37" s="390" t="s">
        <v>105</v>
      </c>
      <c r="B37" s="331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</row>
    <row r="38" spans="1:26" s="111" customFormat="1" ht="36" customHeight="1" x14ac:dyDescent="0.25">
      <c r="A38" s="363" t="s">
        <v>286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109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s="103" customFormat="1" hidden="1" x14ac:dyDescent="0.25">
      <c r="A39" s="391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101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s="103" customFormat="1" ht="15.75" customHeight="1" x14ac:dyDescent="0.25">
      <c r="A40" s="334" t="s">
        <v>5</v>
      </c>
      <c r="B40" s="392" t="s">
        <v>182</v>
      </c>
      <c r="C40" s="393"/>
      <c r="D40" s="394"/>
      <c r="E40" s="335" t="s">
        <v>14</v>
      </c>
      <c r="F40" s="336"/>
      <c r="G40" s="334" t="s">
        <v>15</v>
      </c>
      <c r="H40" s="337" t="s">
        <v>118</v>
      </c>
      <c r="I40" s="338"/>
      <c r="J40" s="338"/>
      <c r="K40" s="338"/>
      <c r="L40" s="338"/>
      <c r="M40" s="338"/>
      <c r="N40" s="11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6" s="103" customFormat="1" ht="62.25" customHeight="1" x14ac:dyDescent="0.25">
      <c r="A41" s="340"/>
      <c r="B41" s="395"/>
      <c r="C41" s="396"/>
      <c r="D41" s="397"/>
      <c r="E41" s="341"/>
      <c r="F41" s="342"/>
      <c r="G41" s="340"/>
      <c r="H41" s="322" t="s">
        <v>253</v>
      </c>
      <c r="I41" s="343"/>
      <c r="J41" s="344"/>
      <c r="K41" s="322" t="s">
        <v>254</v>
      </c>
      <c r="L41" s="343"/>
      <c r="M41" s="344"/>
      <c r="N41" s="11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6" s="106" customFormat="1" ht="11.25" x14ac:dyDescent="0.2">
      <c r="A42" s="373">
        <v>1</v>
      </c>
      <c r="B42" s="376">
        <v>2</v>
      </c>
      <c r="C42" s="398"/>
      <c r="D42" s="399"/>
      <c r="E42" s="400">
        <v>3</v>
      </c>
      <c r="F42" s="401"/>
      <c r="G42" s="402">
        <v>4</v>
      </c>
      <c r="H42" s="400">
        <v>5</v>
      </c>
      <c r="I42" s="403"/>
      <c r="J42" s="404"/>
      <c r="K42" s="400">
        <v>6</v>
      </c>
      <c r="L42" s="403"/>
      <c r="M42" s="404"/>
      <c r="N42" s="104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s="103" customFormat="1" ht="25.5" customHeight="1" x14ac:dyDescent="0.25">
      <c r="A43" s="379">
        <v>1</v>
      </c>
      <c r="B43" s="405" t="s">
        <v>183</v>
      </c>
      <c r="C43" s="406"/>
      <c r="D43" s="407"/>
      <c r="E43" s="400" t="s">
        <v>13</v>
      </c>
      <c r="F43" s="401"/>
      <c r="G43" s="408">
        <f>G45+G46+G47</f>
        <v>381533.04</v>
      </c>
      <c r="H43" s="382">
        <f>H45</f>
        <v>764872.46</v>
      </c>
      <c r="I43" s="383"/>
      <c r="J43" s="384"/>
      <c r="K43" s="382">
        <f t="shared" ref="K43:K49" si="2">G43</f>
        <v>381533.04</v>
      </c>
      <c r="L43" s="383"/>
      <c r="M43" s="384"/>
      <c r="N43" s="101"/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s="103" customFormat="1" ht="11.45" customHeight="1" x14ac:dyDescent="0.25">
      <c r="A44" s="379"/>
      <c r="B44" s="409" t="s">
        <v>3</v>
      </c>
      <c r="C44" s="410"/>
      <c r="D44" s="411"/>
      <c r="E44" s="400"/>
      <c r="F44" s="401"/>
      <c r="G44" s="408"/>
      <c r="H44" s="382"/>
      <c r="I44" s="383"/>
      <c r="J44" s="384"/>
      <c r="K44" s="382">
        <f t="shared" si="2"/>
        <v>0</v>
      </c>
      <c r="L44" s="383"/>
      <c r="M44" s="384"/>
      <c r="N44" s="101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s="103" customFormat="1" ht="18.75" customHeight="1" x14ac:dyDescent="0.25">
      <c r="A45" s="379" t="s">
        <v>16</v>
      </c>
      <c r="B45" s="409" t="s">
        <v>26</v>
      </c>
      <c r="C45" s="410"/>
      <c r="D45" s="411"/>
      <c r="E45" s="382">
        <f>G11</f>
        <v>1734241.09</v>
      </c>
      <c r="F45" s="412"/>
      <c r="G45" s="408">
        <f>E45*22%</f>
        <v>381533.04</v>
      </c>
      <c r="H45" s="382">
        <f>3476693*22%</f>
        <v>764872.46</v>
      </c>
      <c r="I45" s="383"/>
      <c r="J45" s="384"/>
      <c r="K45" s="382">
        <f t="shared" si="2"/>
        <v>381533.04</v>
      </c>
      <c r="L45" s="383"/>
      <c r="M45" s="384"/>
      <c r="N45" s="101"/>
      <c r="O45" s="113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:26" s="103" customFormat="1" ht="15.75" customHeight="1" x14ac:dyDescent="0.25">
      <c r="A46" s="379" t="s">
        <v>17</v>
      </c>
      <c r="B46" s="409" t="s">
        <v>27</v>
      </c>
      <c r="C46" s="410"/>
      <c r="D46" s="411"/>
      <c r="E46" s="382">
        <v>0</v>
      </c>
      <c r="F46" s="412"/>
      <c r="G46" s="413">
        <v>0</v>
      </c>
      <c r="H46" s="382">
        <v>0</v>
      </c>
      <c r="I46" s="383"/>
      <c r="J46" s="384"/>
      <c r="K46" s="382">
        <f t="shared" si="2"/>
        <v>0</v>
      </c>
      <c r="L46" s="383"/>
      <c r="M46" s="384"/>
      <c r="N46" s="101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s="103" customFormat="1" ht="30.6" customHeight="1" x14ac:dyDescent="0.25">
      <c r="A47" s="379" t="s">
        <v>18</v>
      </c>
      <c r="B47" s="405" t="s">
        <v>185</v>
      </c>
      <c r="C47" s="406"/>
      <c r="D47" s="407"/>
      <c r="E47" s="382">
        <v>0</v>
      </c>
      <c r="F47" s="412"/>
      <c r="G47" s="413">
        <v>0</v>
      </c>
      <c r="H47" s="382">
        <v>0</v>
      </c>
      <c r="I47" s="383"/>
      <c r="J47" s="384"/>
      <c r="K47" s="382">
        <f t="shared" si="2"/>
        <v>0</v>
      </c>
      <c r="L47" s="383"/>
      <c r="M47" s="384"/>
      <c r="N47" s="101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s="103" customFormat="1" ht="27.6" customHeight="1" x14ac:dyDescent="0.25">
      <c r="A48" s="379" t="s">
        <v>19</v>
      </c>
      <c r="B48" s="405" t="s">
        <v>184</v>
      </c>
      <c r="C48" s="406"/>
      <c r="D48" s="407"/>
      <c r="E48" s="382" t="s">
        <v>13</v>
      </c>
      <c r="F48" s="412"/>
      <c r="G48" s="408">
        <f>G50+G51+G52+G53+G54</f>
        <v>53765.17</v>
      </c>
      <c r="H48" s="382">
        <f>H50+H52</f>
        <v>76893.38</v>
      </c>
      <c r="I48" s="383"/>
      <c r="J48" s="384"/>
      <c r="K48" s="382">
        <f t="shared" si="2"/>
        <v>53765.17</v>
      </c>
      <c r="L48" s="383"/>
      <c r="M48" s="384"/>
      <c r="N48" s="101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s="103" customFormat="1" ht="12" customHeight="1" x14ac:dyDescent="0.25">
      <c r="A49" s="379"/>
      <c r="B49" s="409" t="s">
        <v>3</v>
      </c>
      <c r="C49" s="410"/>
      <c r="D49" s="411"/>
      <c r="E49" s="382"/>
      <c r="F49" s="412"/>
      <c r="G49" s="408"/>
      <c r="H49" s="382"/>
      <c r="I49" s="383"/>
      <c r="J49" s="384"/>
      <c r="K49" s="382">
        <f t="shared" si="2"/>
        <v>0</v>
      </c>
      <c r="L49" s="383"/>
      <c r="M49" s="384"/>
      <c r="N49" s="101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s="103" customFormat="1" ht="27" customHeight="1" x14ac:dyDescent="0.25">
      <c r="A50" s="379" t="s">
        <v>20</v>
      </c>
      <c r="B50" s="405" t="s">
        <v>28</v>
      </c>
      <c r="C50" s="406"/>
      <c r="D50" s="407"/>
      <c r="E50" s="382">
        <f>E45</f>
        <v>1734241.09</v>
      </c>
      <c r="F50" s="412"/>
      <c r="G50" s="408">
        <f>E50*2.9%+3.7</f>
        <v>50296.69</v>
      </c>
      <c r="H50" s="382">
        <f>3476693*2.9%-30884.11</f>
        <v>69939.990000000005</v>
      </c>
      <c r="I50" s="383"/>
      <c r="J50" s="384"/>
      <c r="K50" s="382">
        <f>G50</f>
        <v>50296.69</v>
      </c>
      <c r="L50" s="383"/>
      <c r="M50" s="384"/>
      <c r="N50" s="101"/>
      <c r="O50" s="113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s="103" customFormat="1" ht="27.75" customHeight="1" x14ac:dyDescent="0.25">
      <c r="A51" s="379" t="s">
        <v>21</v>
      </c>
      <c r="B51" s="405" t="s">
        <v>186</v>
      </c>
      <c r="C51" s="406"/>
      <c r="D51" s="407"/>
      <c r="E51" s="382">
        <v>0</v>
      </c>
      <c r="F51" s="412"/>
      <c r="G51" s="408">
        <v>0</v>
      </c>
      <c r="H51" s="382">
        <v>0</v>
      </c>
      <c r="I51" s="383"/>
      <c r="J51" s="384"/>
      <c r="K51" s="382">
        <f t="shared" ref="K51:K56" si="3">G51</f>
        <v>0</v>
      </c>
      <c r="L51" s="383"/>
      <c r="M51" s="384"/>
      <c r="N51" s="101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s="103" customFormat="1" ht="28.5" customHeight="1" x14ac:dyDescent="0.25">
      <c r="A52" s="379" t="s">
        <v>22</v>
      </c>
      <c r="B52" s="405" t="s">
        <v>29</v>
      </c>
      <c r="C52" s="406"/>
      <c r="D52" s="407"/>
      <c r="E52" s="382">
        <f>E45</f>
        <v>1734241.09</v>
      </c>
      <c r="F52" s="412"/>
      <c r="G52" s="408">
        <f>E52*0.2%</f>
        <v>3468.48</v>
      </c>
      <c r="H52" s="382">
        <f>3476693*0.2%</f>
        <v>6953.39</v>
      </c>
      <c r="I52" s="383"/>
      <c r="J52" s="384"/>
      <c r="K52" s="382">
        <f t="shared" si="3"/>
        <v>3468.48</v>
      </c>
      <c r="L52" s="383"/>
      <c r="M52" s="384"/>
      <c r="N52" s="101"/>
      <c r="O52" s="113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s="103" customFormat="1" ht="34.15" customHeight="1" x14ac:dyDescent="0.25">
      <c r="A53" s="379" t="s">
        <v>23</v>
      </c>
      <c r="B53" s="405" t="s">
        <v>30</v>
      </c>
      <c r="C53" s="406"/>
      <c r="D53" s="407"/>
      <c r="E53" s="382">
        <v>0</v>
      </c>
      <c r="F53" s="412"/>
      <c r="G53" s="413">
        <v>0</v>
      </c>
      <c r="H53" s="382">
        <v>0</v>
      </c>
      <c r="I53" s="383"/>
      <c r="J53" s="384"/>
      <c r="K53" s="382">
        <f t="shared" si="3"/>
        <v>0</v>
      </c>
      <c r="L53" s="383"/>
      <c r="M53" s="384"/>
      <c r="N53" s="101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s="103" customFormat="1" ht="33.6" customHeight="1" x14ac:dyDescent="0.25">
      <c r="A54" s="379" t="s">
        <v>24</v>
      </c>
      <c r="B54" s="405" t="s">
        <v>30</v>
      </c>
      <c r="C54" s="406"/>
      <c r="D54" s="407"/>
      <c r="E54" s="382">
        <v>0</v>
      </c>
      <c r="F54" s="412"/>
      <c r="G54" s="413">
        <v>0</v>
      </c>
      <c r="H54" s="382">
        <v>0</v>
      </c>
      <c r="I54" s="383"/>
      <c r="J54" s="384"/>
      <c r="K54" s="382">
        <f t="shared" si="3"/>
        <v>0</v>
      </c>
      <c r="L54" s="383"/>
      <c r="M54" s="384"/>
      <c r="N54" s="101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s="103" customFormat="1" ht="36" customHeight="1" x14ac:dyDescent="0.25">
      <c r="A55" s="379" t="s">
        <v>25</v>
      </c>
      <c r="B55" s="405" t="s">
        <v>187</v>
      </c>
      <c r="C55" s="406"/>
      <c r="D55" s="407"/>
      <c r="E55" s="382">
        <f>E45</f>
        <v>1734241.09</v>
      </c>
      <c r="F55" s="412"/>
      <c r="G55" s="408">
        <f>E55*5.1%</f>
        <v>88446.3</v>
      </c>
      <c r="H55" s="382">
        <f>3476693*5.1%</f>
        <v>177311.34</v>
      </c>
      <c r="I55" s="383"/>
      <c r="J55" s="384"/>
      <c r="K55" s="382">
        <f t="shared" si="3"/>
        <v>88446.3</v>
      </c>
      <c r="L55" s="383"/>
      <c r="M55" s="384"/>
      <c r="N55" s="101"/>
      <c r="O55" s="113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s="103" customFormat="1" ht="18.600000000000001" customHeight="1" x14ac:dyDescent="0.25">
      <c r="A56" s="414" t="s">
        <v>4</v>
      </c>
      <c r="B56" s="415"/>
      <c r="C56" s="415"/>
      <c r="D56" s="416"/>
      <c r="E56" s="389" t="s">
        <v>13</v>
      </c>
      <c r="F56" s="417"/>
      <c r="G56" s="418">
        <f>G43+G48+G55</f>
        <v>523744.51</v>
      </c>
      <c r="H56" s="419">
        <f>H43+H48+H55</f>
        <v>1019077.18</v>
      </c>
      <c r="I56" s="383"/>
      <c r="J56" s="384"/>
      <c r="K56" s="389">
        <f t="shared" si="3"/>
        <v>523744.51</v>
      </c>
      <c r="L56" s="420"/>
      <c r="M56" s="421"/>
      <c r="N56" s="101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s="103" customFormat="1" ht="16.5" customHeight="1" x14ac:dyDescent="0.25">
      <c r="A57" s="330"/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101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s="103" customFormat="1" ht="13.5" customHeight="1" x14ac:dyDescent="0.25">
      <c r="A58" s="367" t="s">
        <v>188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101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s="103" customFormat="1" x14ac:dyDescent="0.25">
      <c r="A59" s="330" t="s">
        <v>288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101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s="103" customFormat="1" ht="15" customHeight="1" x14ac:dyDescent="0.25">
      <c r="A60" s="330"/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101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s="103" customFormat="1" ht="18.75" customHeight="1" x14ac:dyDescent="0.25">
      <c r="A61" s="368" t="s">
        <v>5</v>
      </c>
      <c r="B61" s="334" t="s">
        <v>31</v>
      </c>
      <c r="C61" s="334" t="s">
        <v>36</v>
      </c>
      <c r="D61" s="334" t="s">
        <v>32</v>
      </c>
      <c r="E61" s="335" t="s">
        <v>33</v>
      </c>
      <c r="F61" s="369"/>
      <c r="G61" s="336"/>
      <c r="H61" s="337" t="s">
        <v>118</v>
      </c>
      <c r="I61" s="338"/>
      <c r="J61" s="338"/>
      <c r="K61" s="338"/>
      <c r="L61" s="338"/>
      <c r="M61" s="338"/>
      <c r="N61" s="101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s="103" customFormat="1" ht="37.15" customHeight="1" x14ac:dyDescent="0.25">
      <c r="A62" s="340"/>
      <c r="B62" s="340"/>
      <c r="C62" s="340"/>
      <c r="D62" s="340"/>
      <c r="E62" s="370"/>
      <c r="F62" s="371"/>
      <c r="G62" s="372"/>
      <c r="H62" s="322" t="s">
        <v>253</v>
      </c>
      <c r="I62" s="343"/>
      <c r="J62" s="344"/>
      <c r="K62" s="322" t="s">
        <v>254</v>
      </c>
      <c r="L62" s="343"/>
      <c r="M62" s="344"/>
      <c r="N62" s="101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s="116" customFormat="1" ht="10.5" customHeight="1" x14ac:dyDescent="0.25">
      <c r="A63" s="373" t="s">
        <v>34</v>
      </c>
      <c r="B63" s="374">
        <v>2</v>
      </c>
      <c r="C63" s="374">
        <v>3</v>
      </c>
      <c r="D63" s="374">
        <v>4</v>
      </c>
      <c r="E63" s="375">
        <v>5</v>
      </c>
      <c r="F63" s="375"/>
      <c r="G63" s="375"/>
      <c r="H63" s="376">
        <v>6</v>
      </c>
      <c r="I63" s="377"/>
      <c r="J63" s="378"/>
      <c r="K63" s="376">
        <v>7</v>
      </c>
      <c r="L63" s="377"/>
      <c r="M63" s="378"/>
      <c r="N63" s="114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s="103" customFormat="1" x14ac:dyDescent="0.25">
      <c r="A64" s="379"/>
      <c r="B64" s="350"/>
      <c r="C64" s="380"/>
      <c r="D64" s="380"/>
      <c r="E64" s="381"/>
      <c r="F64" s="381"/>
      <c r="G64" s="381"/>
      <c r="H64" s="382"/>
      <c r="I64" s="383"/>
      <c r="J64" s="384"/>
      <c r="K64" s="382"/>
      <c r="L64" s="383"/>
      <c r="M64" s="384"/>
      <c r="N64" s="101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26" s="103" customFormat="1" x14ac:dyDescent="0.25">
      <c r="A65" s="385" t="s">
        <v>12</v>
      </c>
      <c r="B65" s="386"/>
      <c r="C65" s="387" t="s">
        <v>13</v>
      </c>
      <c r="D65" s="387" t="s">
        <v>13</v>
      </c>
      <c r="E65" s="388">
        <f>SUM(E64:G64)</f>
        <v>0</v>
      </c>
      <c r="F65" s="388"/>
      <c r="G65" s="388"/>
      <c r="H65" s="389">
        <v>0</v>
      </c>
      <c r="I65" s="383"/>
      <c r="J65" s="384"/>
      <c r="K65" s="389">
        <f>K64</f>
        <v>0</v>
      </c>
      <c r="L65" s="383"/>
      <c r="M65" s="384"/>
      <c r="N65" s="101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6" s="103" customFormat="1" ht="15" customHeight="1" x14ac:dyDescent="0.25">
      <c r="A66" s="330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101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:26" s="103" customFormat="1" ht="11.45" customHeight="1" x14ac:dyDescent="0.25">
      <c r="A67" s="367" t="s">
        <v>189</v>
      </c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101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:26" s="103" customFormat="1" ht="11.45" customHeight="1" x14ac:dyDescent="0.25">
      <c r="A68" s="422"/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101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:26" s="103" customFormat="1" ht="15" customHeight="1" x14ac:dyDescent="0.25">
      <c r="A69" s="390" t="s">
        <v>211</v>
      </c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101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:26" s="103" customFormat="1" ht="13.15" customHeight="1" x14ac:dyDescent="0.25">
      <c r="A70" s="330"/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101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6" s="103" customFormat="1" ht="11.45" customHeight="1" x14ac:dyDescent="0.25">
      <c r="A71" s="368" t="s">
        <v>5</v>
      </c>
      <c r="B71" s="334" t="s">
        <v>6</v>
      </c>
      <c r="C71" s="334" t="s">
        <v>35</v>
      </c>
      <c r="D71" s="334" t="s">
        <v>37</v>
      </c>
      <c r="E71" s="335" t="s">
        <v>38</v>
      </c>
      <c r="F71" s="369"/>
      <c r="G71" s="336"/>
      <c r="H71" s="337" t="s">
        <v>118</v>
      </c>
      <c r="I71" s="338"/>
      <c r="J71" s="338"/>
      <c r="K71" s="338"/>
      <c r="L71" s="338"/>
      <c r="M71" s="338"/>
      <c r="N71" s="101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s="103" customFormat="1" ht="62.25" customHeight="1" x14ac:dyDescent="0.25">
      <c r="A72" s="340"/>
      <c r="B72" s="340"/>
      <c r="C72" s="340"/>
      <c r="D72" s="340"/>
      <c r="E72" s="370"/>
      <c r="F72" s="371"/>
      <c r="G72" s="372"/>
      <c r="H72" s="322" t="s">
        <v>269</v>
      </c>
      <c r="I72" s="343"/>
      <c r="J72" s="344"/>
      <c r="K72" s="322" t="s">
        <v>272</v>
      </c>
      <c r="L72" s="343"/>
      <c r="M72" s="344"/>
      <c r="N72" s="101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6" s="106" customFormat="1" ht="8.4499999999999993" customHeight="1" x14ac:dyDescent="0.2">
      <c r="A73" s="373" t="s">
        <v>34</v>
      </c>
      <c r="B73" s="374">
        <v>2</v>
      </c>
      <c r="C73" s="374">
        <v>3</v>
      </c>
      <c r="D73" s="374">
        <v>4</v>
      </c>
      <c r="E73" s="375">
        <v>5</v>
      </c>
      <c r="F73" s="375"/>
      <c r="G73" s="375"/>
      <c r="H73" s="423">
        <v>6</v>
      </c>
      <c r="I73" s="377"/>
      <c r="J73" s="378"/>
      <c r="K73" s="423">
        <v>7</v>
      </c>
      <c r="L73" s="377"/>
      <c r="M73" s="378"/>
      <c r="N73" s="104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s="103" customFormat="1" ht="12.75" customHeight="1" x14ac:dyDescent="0.25">
      <c r="A74" s="424" t="s">
        <v>34</v>
      </c>
      <c r="B74" s="380"/>
      <c r="C74" s="408"/>
      <c r="D74" s="387"/>
      <c r="E74" s="425"/>
      <c r="F74" s="425"/>
      <c r="G74" s="425"/>
      <c r="H74" s="382">
        <v>0</v>
      </c>
      <c r="I74" s="383"/>
      <c r="J74" s="384"/>
      <c r="K74" s="382">
        <f>E74</f>
        <v>0</v>
      </c>
      <c r="L74" s="383"/>
      <c r="M74" s="384"/>
      <c r="N74" s="101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:26" s="103" customFormat="1" ht="14.25" customHeight="1" x14ac:dyDescent="0.25">
      <c r="A75" s="385" t="s">
        <v>12</v>
      </c>
      <c r="B75" s="386"/>
      <c r="C75" s="387" t="s">
        <v>13</v>
      </c>
      <c r="D75" s="387" t="s">
        <v>13</v>
      </c>
      <c r="E75" s="426">
        <f>SUM(E74:G74)</f>
        <v>0</v>
      </c>
      <c r="F75" s="426"/>
      <c r="G75" s="426"/>
      <c r="H75" s="389">
        <v>0</v>
      </c>
      <c r="I75" s="383"/>
      <c r="J75" s="384"/>
      <c r="K75" s="389">
        <f>SUM(K74:M74)</f>
        <v>0</v>
      </c>
      <c r="L75" s="420"/>
      <c r="M75" s="421"/>
      <c r="N75" s="101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:26" s="103" customFormat="1" ht="11.45" customHeight="1" x14ac:dyDescent="0.25">
      <c r="A76" s="422"/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101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:26" s="103" customFormat="1" ht="14.45" customHeight="1" x14ac:dyDescent="0.25">
      <c r="A77" s="390" t="s">
        <v>106</v>
      </c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101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:26" s="103" customFormat="1" ht="11.45" customHeight="1" x14ac:dyDescent="0.25">
      <c r="A78" s="330"/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101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:26" s="103" customFormat="1" ht="16.5" customHeight="1" x14ac:dyDescent="0.25">
      <c r="A79" s="368" t="s">
        <v>5</v>
      </c>
      <c r="B79" s="334" t="s">
        <v>6</v>
      </c>
      <c r="C79" s="334" t="s">
        <v>35</v>
      </c>
      <c r="D79" s="334" t="s">
        <v>37</v>
      </c>
      <c r="E79" s="335" t="s">
        <v>38</v>
      </c>
      <c r="F79" s="369"/>
      <c r="G79" s="336"/>
      <c r="H79" s="337" t="s">
        <v>118</v>
      </c>
      <c r="I79" s="338"/>
      <c r="J79" s="338"/>
      <c r="K79" s="338"/>
      <c r="L79" s="338"/>
      <c r="M79" s="338"/>
      <c r="N79" s="101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:26" s="103" customFormat="1" ht="53.25" customHeight="1" x14ac:dyDescent="0.25">
      <c r="A80" s="340"/>
      <c r="B80" s="340"/>
      <c r="C80" s="340"/>
      <c r="D80" s="340"/>
      <c r="E80" s="370"/>
      <c r="F80" s="371"/>
      <c r="G80" s="372"/>
      <c r="H80" s="322" t="s">
        <v>269</v>
      </c>
      <c r="I80" s="343"/>
      <c r="J80" s="344"/>
      <c r="K80" s="322" t="s">
        <v>272</v>
      </c>
      <c r="L80" s="343"/>
      <c r="M80" s="344"/>
      <c r="N80" s="101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s="116" customFormat="1" ht="9" customHeight="1" x14ac:dyDescent="0.25">
      <c r="A81" s="373" t="s">
        <v>34</v>
      </c>
      <c r="B81" s="374">
        <v>2</v>
      </c>
      <c r="C81" s="374">
        <v>3</v>
      </c>
      <c r="D81" s="374">
        <v>4</v>
      </c>
      <c r="E81" s="375">
        <v>5</v>
      </c>
      <c r="F81" s="375"/>
      <c r="G81" s="375"/>
      <c r="H81" s="423">
        <v>6</v>
      </c>
      <c r="I81" s="377"/>
      <c r="J81" s="378"/>
      <c r="K81" s="423">
        <v>7</v>
      </c>
      <c r="L81" s="377"/>
      <c r="M81" s="378"/>
      <c r="N81" s="114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s="103" customFormat="1" x14ac:dyDescent="0.25">
      <c r="A82" s="424"/>
      <c r="B82" s="380"/>
      <c r="C82" s="408"/>
      <c r="D82" s="387"/>
      <c r="E82" s="425"/>
      <c r="F82" s="425"/>
      <c r="G82" s="425"/>
      <c r="H82" s="382"/>
      <c r="I82" s="383"/>
      <c r="J82" s="384"/>
      <c r="K82" s="382"/>
      <c r="L82" s="383"/>
      <c r="M82" s="384"/>
      <c r="N82" s="101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:26" s="103" customFormat="1" x14ac:dyDescent="0.25">
      <c r="A83" s="385" t="s">
        <v>12</v>
      </c>
      <c r="B83" s="386"/>
      <c r="C83" s="387" t="s">
        <v>13</v>
      </c>
      <c r="D83" s="387" t="s">
        <v>13</v>
      </c>
      <c r="E83" s="426">
        <f>SUM(E82:G82)</f>
        <v>0</v>
      </c>
      <c r="F83" s="426"/>
      <c r="G83" s="426"/>
      <c r="H83" s="389">
        <f>SUM(H82)</f>
        <v>0</v>
      </c>
      <c r="I83" s="383"/>
      <c r="J83" s="384"/>
      <c r="K83" s="389">
        <f>SUM(K82)</f>
        <v>0</v>
      </c>
      <c r="L83" s="383"/>
      <c r="M83" s="384"/>
      <c r="N83" s="101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:26" s="103" customFormat="1" ht="13.15" customHeight="1" x14ac:dyDescent="0.25">
      <c r="A84" s="330"/>
      <c r="B84" s="427"/>
      <c r="C84" s="428"/>
      <c r="D84" s="428"/>
      <c r="E84" s="429"/>
      <c r="F84" s="429"/>
      <c r="G84" s="429"/>
      <c r="H84" s="429"/>
      <c r="I84" s="429"/>
      <c r="J84" s="429"/>
      <c r="K84" s="429"/>
      <c r="L84" s="429"/>
      <c r="M84" s="429"/>
      <c r="N84" s="101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6" s="103" customFormat="1" x14ac:dyDescent="0.25">
      <c r="A85" s="390" t="s">
        <v>107</v>
      </c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101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:26" s="103" customFormat="1" ht="13.9" customHeight="1" x14ac:dyDescent="0.25">
      <c r="A86" s="330"/>
      <c r="B86" s="331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101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:26" s="103" customFormat="1" ht="12.75" customHeight="1" x14ac:dyDescent="0.25">
      <c r="A87" s="368" t="s">
        <v>5</v>
      </c>
      <c r="B87" s="334" t="s">
        <v>6</v>
      </c>
      <c r="C87" s="334" t="s">
        <v>35</v>
      </c>
      <c r="D87" s="334" t="s">
        <v>37</v>
      </c>
      <c r="E87" s="335" t="s">
        <v>38</v>
      </c>
      <c r="F87" s="369"/>
      <c r="G87" s="336"/>
      <c r="H87" s="337" t="s">
        <v>118</v>
      </c>
      <c r="I87" s="338"/>
      <c r="J87" s="338"/>
      <c r="K87" s="338"/>
      <c r="L87" s="338"/>
      <c r="M87" s="338"/>
      <c r="N87" s="101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s="103" customFormat="1" ht="51" customHeight="1" x14ac:dyDescent="0.25">
      <c r="A88" s="340"/>
      <c r="B88" s="340"/>
      <c r="C88" s="340"/>
      <c r="D88" s="340"/>
      <c r="E88" s="370"/>
      <c r="F88" s="371"/>
      <c r="G88" s="372"/>
      <c r="H88" s="322" t="s">
        <v>269</v>
      </c>
      <c r="I88" s="343"/>
      <c r="J88" s="344"/>
      <c r="K88" s="322" t="s">
        <v>272</v>
      </c>
      <c r="L88" s="343"/>
      <c r="M88" s="344"/>
      <c r="N88" s="101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s="106" customFormat="1" ht="9" customHeight="1" x14ac:dyDescent="0.2">
      <c r="A89" s="373" t="s">
        <v>34</v>
      </c>
      <c r="B89" s="374">
        <v>2</v>
      </c>
      <c r="C89" s="374">
        <v>3</v>
      </c>
      <c r="D89" s="374">
        <v>4</v>
      </c>
      <c r="E89" s="375">
        <v>5</v>
      </c>
      <c r="F89" s="375"/>
      <c r="G89" s="375"/>
      <c r="H89" s="423">
        <v>6</v>
      </c>
      <c r="I89" s="377"/>
      <c r="J89" s="378"/>
      <c r="K89" s="423">
        <v>7</v>
      </c>
      <c r="L89" s="377"/>
      <c r="M89" s="378"/>
      <c r="N89" s="104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s="103" customFormat="1" ht="25.15" customHeight="1" x14ac:dyDescent="0.25">
      <c r="A90" s="424" t="s">
        <v>34</v>
      </c>
      <c r="B90" s="430" t="s">
        <v>209</v>
      </c>
      <c r="C90" s="408"/>
      <c r="D90" s="408"/>
      <c r="E90" s="382">
        <v>0</v>
      </c>
      <c r="F90" s="431"/>
      <c r="G90" s="432"/>
      <c r="H90" s="433">
        <v>6800</v>
      </c>
      <c r="I90" s="383"/>
      <c r="J90" s="384"/>
      <c r="K90" s="351">
        <f>E90</f>
        <v>0</v>
      </c>
      <c r="L90" s="343"/>
      <c r="M90" s="344"/>
      <c r="N90" s="101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s="103" customFormat="1" ht="19.149999999999999" customHeight="1" x14ac:dyDescent="0.25">
      <c r="A91" s="385" t="s">
        <v>12</v>
      </c>
      <c r="B91" s="386"/>
      <c r="C91" s="387" t="s">
        <v>13</v>
      </c>
      <c r="D91" s="387" t="s">
        <v>13</v>
      </c>
      <c r="E91" s="426">
        <f>SUM(E90:G90)</f>
        <v>0</v>
      </c>
      <c r="F91" s="426"/>
      <c r="G91" s="426"/>
      <c r="H91" s="357">
        <f>SUM(H90:J90)</f>
        <v>6800</v>
      </c>
      <c r="I91" s="343"/>
      <c r="J91" s="344"/>
      <c r="K91" s="357">
        <f>SUM(K90:M90)</f>
        <v>0</v>
      </c>
      <c r="L91" s="343"/>
      <c r="M91" s="344"/>
      <c r="N91" s="101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s="103" customFormat="1" ht="19.149999999999999" customHeight="1" x14ac:dyDescent="0.25">
      <c r="A92" s="330"/>
      <c r="B92" s="427"/>
      <c r="C92" s="428"/>
      <c r="D92" s="428"/>
      <c r="E92" s="428"/>
      <c r="F92" s="428"/>
      <c r="G92" s="428"/>
      <c r="H92" s="428"/>
      <c r="I92" s="428"/>
      <c r="J92" s="428"/>
      <c r="K92" s="428"/>
      <c r="L92" s="428"/>
      <c r="M92" s="428"/>
      <c r="N92" s="101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s="103" customFormat="1" x14ac:dyDescent="0.25">
      <c r="A93" s="390" t="s">
        <v>108</v>
      </c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101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s="103" customFormat="1" ht="15" customHeight="1" x14ac:dyDescent="0.25">
      <c r="A94" s="330"/>
      <c r="B94" s="331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101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s="103" customFormat="1" ht="17.25" customHeight="1" x14ac:dyDescent="0.25">
      <c r="A95" s="368" t="s">
        <v>5</v>
      </c>
      <c r="B95" s="334" t="s">
        <v>6</v>
      </c>
      <c r="C95" s="334" t="s">
        <v>35</v>
      </c>
      <c r="D95" s="334" t="s">
        <v>37</v>
      </c>
      <c r="E95" s="335" t="s">
        <v>38</v>
      </c>
      <c r="F95" s="369"/>
      <c r="G95" s="336"/>
      <c r="H95" s="337" t="s">
        <v>118</v>
      </c>
      <c r="I95" s="338"/>
      <c r="J95" s="338"/>
      <c r="K95" s="338"/>
      <c r="L95" s="338"/>
      <c r="M95" s="338"/>
      <c r="N95" s="101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s="103" customFormat="1" ht="53.25" customHeight="1" x14ac:dyDescent="0.25">
      <c r="A96" s="340"/>
      <c r="B96" s="340"/>
      <c r="C96" s="340"/>
      <c r="D96" s="340"/>
      <c r="E96" s="370"/>
      <c r="F96" s="371"/>
      <c r="G96" s="372"/>
      <c r="H96" s="322" t="s">
        <v>270</v>
      </c>
      <c r="I96" s="343"/>
      <c r="J96" s="344"/>
      <c r="K96" s="322" t="s">
        <v>271</v>
      </c>
      <c r="L96" s="343"/>
      <c r="M96" s="344"/>
      <c r="N96" s="101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:26" s="106" customFormat="1" ht="8.4499999999999993" customHeight="1" x14ac:dyDescent="0.2">
      <c r="A97" s="373" t="s">
        <v>34</v>
      </c>
      <c r="B97" s="374">
        <v>2</v>
      </c>
      <c r="C97" s="374">
        <v>3</v>
      </c>
      <c r="D97" s="374">
        <v>4</v>
      </c>
      <c r="E97" s="375">
        <v>5</v>
      </c>
      <c r="F97" s="375"/>
      <c r="G97" s="375"/>
      <c r="H97" s="423">
        <v>6</v>
      </c>
      <c r="I97" s="377"/>
      <c r="J97" s="378"/>
      <c r="K97" s="423">
        <v>7</v>
      </c>
      <c r="L97" s="377"/>
      <c r="M97" s="378"/>
      <c r="N97" s="104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s="103" customFormat="1" x14ac:dyDescent="0.25">
      <c r="A98" s="424" t="s">
        <v>34</v>
      </c>
      <c r="B98" s="430" t="s">
        <v>209</v>
      </c>
      <c r="C98" s="408"/>
      <c r="D98" s="408"/>
      <c r="E98" s="382">
        <v>0</v>
      </c>
      <c r="F98" s="431"/>
      <c r="G98" s="412"/>
      <c r="H98" s="381">
        <v>100000</v>
      </c>
      <c r="I98" s="434"/>
      <c r="J98" s="434"/>
      <c r="K98" s="381">
        <f>E98</f>
        <v>0</v>
      </c>
      <c r="L98" s="434"/>
      <c r="M98" s="434"/>
      <c r="N98" s="101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:26" s="103" customFormat="1" ht="19.899999999999999" customHeight="1" x14ac:dyDescent="0.25">
      <c r="A99" s="385" t="s">
        <v>12</v>
      </c>
      <c r="B99" s="386"/>
      <c r="C99" s="387" t="s">
        <v>13</v>
      </c>
      <c r="D99" s="387" t="s">
        <v>13</v>
      </c>
      <c r="E99" s="426">
        <f>SUM(E98:G98)</f>
        <v>0</v>
      </c>
      <c r="F99" s="426"/>
      <c r="G99" s="426"/>
      <c r="H99" s="388">
        <f>SUM(H98:J98)</f>
        <v>100000</v>
      </c>
      <c r="I99" s="435"/>
      <c r="J99" s="435"/>
      <c r="K99" s="388">
        <f>SUM(K98:M98)</f>
        <v>0</v>
      </c>
      <c r="L99" s="435"/>
      <c r="M99" s="435"/>
      <c r="N99" s="101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:26" s="103" customFormat="1" ht="14.25" customHeight="1" x14ac:dyDescent="0.25">
      <c r="A100" s="330"/>
      <c r="B100" s="427"/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101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s="103" customFormat="1" ht="15" customHeight="1" x14ac:dyDescent="0.25">
      <c r="A101" s="367" t="s">
        <v>190</v>
      </c>
      <c r="B101" s="367"/>
      <c r="C101" s="367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101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s="103" customFormat="1" x14ac:dyDescent="0.25">
      <c r="A102" s="330" t="s">
        <v>39</v>
      </c>
      <c r="B102" s="331"/>
      <c r="C102" s="331"/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101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:26" s="103" customFormat="1" ht="12" customHeight="1" x14ac:dyDescent="0.25">
      <c r="A103" s="330"/>
      <c r="B103" s="331"/>
      <c r="C103" s="331"/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  <c r="N103" s="101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s="103" customFormat="1" ht="16.5" customHeight="1" x14ac:dyDescent="0.25">
      <c r="A104" s="436" t="s">
        <v>5</v>
      </c>
      <c r="B104" s="334" t="s">
        <v>31</v>
      </c>
      <c r="C104" s="334" t="s">
        <v>36</v>
      </c>
      <c r="D104" s="334" t="s">
        <v>32</v>
      </c>
      <c r="E104" s="335" t="s">
        <v>33</v>
      </c>
      <c r="F104" s="369"/>
      <c r="G104" s="336"/>
      <c r="H104" s="337" t="s">
        <v>118</v>
      </c>
      <c r="I104" s="338"/>
      <c r="J104" s="338"/>
      <c r="K104" s="338"/>
      <c r="L104" s="338"/>
      <c r="M104" s="338"/>
      <c r="N104" s="101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s="103" customFormat="1" ht="41.25" customHeight="1" x14ac:dyDescent="0.25">
      <c r="A105" s="339"/>
      <c r="B105" s="340"/>
      <c r="C105" s="340"/>
      <c r="D105" s="340"/>
      <c r="E105" s="370"/>
      <c r="F105" s="371"/>
      <c r="G105" s="372"/>
      <c r="H105" s="322" t="s">
        <v>130</v>
      </c>
      <c r="I105" s="343"/>
      <c r="J105" s="344"/>
      <c r="K105" s="322" t="s">
        <v>131</v>
      </c>
      <c r="L105" s="343"/>
      <c r="M105" s="344"/>
      <c r="N105" s="101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s="116" customFormat="1" ht="9.75" customHeight="1" x14ac:dyDescent="0.25">
      <c r="A106" s="373" t="s">
        <v>34</v>
      </c>
      <c r="B106" s="374">
        <v>2</v>
      </c>
      <c r="C106" s="374">
        <v>3</v>
      </c>
      <c r="D106" s="374">
        <v>4</v>
      </c>
      <c r="E106" s="375">
        <v>5</v>
      </c>
      <c r="F106" s="375"/>
      <c r="G106" s="375"/>
      <c r="H106" s="376">
        <v>6</v>
      </c>
      <c r="I106" s="377"/>
      <c r="J106" s="378"/>
      <c r="K106" s="376">
        <v>7</v>
      </c>
      <c r="L106" s="377"/>
      <c r="M106" s="378"/>
      <c r="N106" s="114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s="103" customFormat="1" ht="19.899999999999999" customHeight="1" x14ac:dyDescent="0.25">
      <c r="A107" s="385" t="s">
        <v>12</v>
      </c>
      <c r="B107" s="386"/>
      <c r="C107" s="387" t="s">
        <v>13</v>
      </c>
      <c r="D107" s="387" t="s">
        <v>13</v>
      </c>
      <c r="E107" s="388">
        <v>0</v>
      </c>
      <c r="F107" s="388"/>
      <c r="G107" s="388"/>
      <c r="H107" s="388">
        <v>0</v>
      </c>
      <c r="I107" s="435"/>
      <c r="J107" s="435"/>
      <c r="K107" s="388">
        <v>0</v>
      </c>
      <c r="L107" s="435"/>
      <c r="M107" s="435"/>
      <c r="N107" s="101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:26" s="103" customFormat="1" ht="15" customHeight="1" x14ac:dyDescent="0.25">
      <c r="A108" s="330"/>
      <c r="B108" s="331"/>
      <c r="C108" s="331"/>
      <c r="D108" s="331"/>
      <c r="E108" s="331"/>
      <c r="F108" s="331"/>
      <c r="G108" s="331"/>
      <c r="H108" s="437"/>
      <c r="I108" s="438"/>
      <c r="J108" s="438"/>
      <c r="K108" s="437"/>
      <c r="L108" s="438"/>
      <c r="M108" s="438"/>
      <c r="N108" s="101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s="103" customFormat="1" ht="15" customHeight="1" x14ac:dyDescent="0.25">
      <c r="A109" s="367" t="s">
        <v>192</v>
      </c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101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:26" s="103" customFormat="1" x14ac:dyDescent="0.25">
      <c r="A110" s="330" t="s">
        <v>39</v>
      </c>
      <c r="B110" s="331"/>
      <c r="C110" s="331"/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  <c r="N110" s="101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s="103" customFormat="1" ht="18" customHeight="1" x14ac:dyDescent="0.25">
      <c r="A111" s="330"/>
      <c r="B111" s="331"/>
      <c r="C111" s="331"/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  <c r="N111" s="101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s="103" customFormat="1" ht="17.25" customHeight="1" x14ac:dyDescent="0.25">
      <c r="A112" s="436" t="s">
        <v>5</v>
      </c>
      <c r="B112" s="334" t="s">
        <v>31</v>
      </c>
      <c r="C112" s="334" t="s">
        <v>57</v>
      </c>
      <c r="D112" s="334" t="s">
        <v>58</v>
      </c>
      <c r="E112" s="335" t="s">
        <v>33</v>
      </c>
      <c r="F112" s="369"/>
      <c r="G112" s="336"/>
      <c r="H112" s="337" t="s">
        <v>118</v>
      </c>
      <c r="I112" s="338"/>
      <c r="J112" s="338"/>
      <c r="K112" s="338"/>
      <c r="L112" s="338"/>
      <c r="M112" s="338"/>
      <c r="N112" s="101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s="103" customFormat="1" ht="39.75" customHeight="1" x14ac:dyDescent="0.25">
      <c r="A113" s="339"/>
      <c r="B113" s="340"/>
      <c r="C113" s="340"/>
      <c r="D113" s="340"/>
      <c r="E113" s="370"/>
      <c r="F113" s="371"/>
      <c r="G113" s="372"/>
      <c r="H113" s="322" t="s">
        <v>267</v>
      </c>
      <c r="I113" s="343"/>
      <c r="J113" s="344"/>
      <c r="K113" s="322" t="s">
        <v>268</v>
      </c>
      <c r="L113" s="343"/>
      <c r="M113" s="344"/>
      <c r="N113" s="101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s="116" customFormat="1" ht="9" customHeight="1" x14ac:dyDescent="0.25">
      <c r="A114" s="373" t="s">
        <v>34</v>
      </c>
      <c r="B114" s="374">
        <v>2</v>
      </c>
      <c r="C114" s="374">
        <v>3</v>
      </c>
      <c r="D114" s="374">
        <v>4</v>
      </c>
      <c r="E114" s="375">
        <v>5</v>
      </c>
      <c r="F114" s="375"/>
      <c r="G114" s="375"/>
      <c r="H114" s="376">
        <v>6</v>
      </c>
      <c r="I114" s="377"/>
      <c r="J114" s="378"/>
      <c r="K114" s="376">
        <v>7</v>
      </c>
      <c r="L114" s="377"/>
      <c r="M114" s="378"/>
      <c r="N114" s="114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s="103" customFormat="1" ht="15" customHeight="1" x14ac:dyDescent="0.25">
      <c r="A115" s="379"/>
      <c r="B115" s="380"/>
      <c r="C115" s="380">
        <v>0</v>
      </c>
      <c r="D115" s="439">
        <v>0</v>
      </c>
      <c r="E115" s="381">
        <v>0</v>
      </c>
      <c r="F115" s="381"/>
      <c r="G115" s="381"/>
      <c r="H115" s="382">
        <v>0</v>
      </c>
      <c r="I115" s="440"/>
      <c r="J115" s="432"/>
      <c r="K115" s="382">
        <v>0</v>
      </c>
      <c r="L115" s="440"/>
      <c r="M115" s="432"/>
      <c r="N115" s="101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s="103" customFormat="1" ht="18" customHeight="1" x14ac:dyDescent="0.25">
      <c r="A116" s="385" t="s">
        <v>12</v>
      </c>
      <c r="B116" s="386"/>
      <c r="C116" s="387" t="s">
        <v>13</v>
      </c>
      <c r="D116" s="387" t="s">
        <v>13</v>
      </c>
      <c r="E116" s="388">
        <f>SUM(E115:G115)</f>
        <v>0</v>
      </c>
      <c r="F116" s="388"/>
      <c r="G116" s="388"/>
      <c r="H116" s="389">
        <v>0</v>
      </c>
      <c r="I116" s="441"/>
      <c r="J116" s="442"/>
      <c r="K116" s="389">
        <v>0</v>
      </c>
      <c r="L116" s="441"/>
      <c r="M116" s="442"/>
      <c r="N116" s="101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s="103" customFormat="1" ht="12" customHeight="1" x14ac:dyDescent="0.25">
      <c r="A117" s="330"/>
      <c r="B117" s="427"/>
      <c r="C117" s="428"/>
      <c r="D117" s="428"/>
      <c r="E117" s="428"/>
      <c r="F117" s="428"/>
      <c r="G117" s="428"/>
      <c r="H117" s="428"/>
      <c r="I117" s="428"/>
      <c r="J117" s="428"/>
      <c r="K117" s="428"/>
      <c r="L117" s="428"/>
      <c r="M117" s="428"/>
      <c r="N117" s="101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s="103" customFormat="1" ht="19.149999999999999" customHeight="1" x14ac:dyDescent="0.25">
      <c r="A118" s="367" t="s">
        <v>195</v>
      </c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101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s="103" customFormat="1" ht="16.899999999999999" customHeight="1" x14ac:dyDescent="0.25">
      <c r="A119" s="330" t="s">
        <v>144</v>
      </c>
      <c r="B119" s="331"/>
      <c r="C119" s="331"/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  <c r="N119" s="101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s="103" customFormat="1" ht="5.45" customHeight="1" x14ac:dyDescent="0.25">
      <c r="A120" s="330"/>
      <c r="B120" s="427"/>
      <c r="C120" s="428"/>
      <c r="D120" s="428"/>
      <c r="E120" s="428"/>
      <c r="F120" s="428"/>
      <c r="G120" s="428"/>
      <c r="H120" s="428"/>
      <c r="I120" s="428"/>
      <c r="J120" s="428"/>
      <c r="K120" s="428"/>
      <c r="L120" s="428"/>
      <c r="M120" s="428"/>
      <c r="N120" s="101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s="111" customFormat="1" ht="16.5" customHeight="1" x14ac:dyDescent="0.25">
      <c r="A121" s="363" t="s">
        <v>196</v>
      </c>
      <c r="B121" s="363"/>
      <c r="C121" s="363"/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  <c r="N121" s="109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spans="1:26" s="111" customFormat="1" ht="9.6" customHeight="1" x14ac:dyDescent="0.25">
      <c r="A122" s="332"/>
      <c r="B122" s="329"/>
      <c r="C122" s="329"/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109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spans="1:26" s="111" customFormat="1" ht="15" customHeight="1" x14ac:dyDescent="0.25">
      <c r="A123" s="334" t="s">
        <v>5</v>
      </c>
      <c r="B123" s="334" t="s">
        <v>6</v>
      </c>
      <c r="C123" s="334" t="s">
        <v>40</v>
      </c>
      <c r="D123" s="334" t="s">
        <v>247</v>
      </c>
      <c r="E123" s="335" t="s">
        <v>41</v>
      </c>
      <c r="F123" s="336"/>
      <c r="G123" s="334" t="s">
        <v>9</v>
      </c>
      <c r="H123" s="337" t="s">
        <v>118</v>
      </c>
      <c r="I123" s="338"/>
      <c r="J123" s="338"/>
      <c r="K123" s="338"/>
      <c r="L123" s="338"/>
      <c r="M123" s="338"/>
      <c r="N123" s="109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spans="1:26" s="111" customFormat="1" ht="39.6" customHeight="1" x14ac:dyDescent="0.25">
      <c r="A124" s="340"/>
      <c r="B124" s="340"/>
      <c r="C124" s="340"/>
      <c r="D124" s="340"/>
      <c r="E124" s="341"/>
      <c r="F124" s="342"/>
      <c r="G124" s="340"/>
      <c r="H124" s="337" t="s">
        <v>265</v>
      </c>
      <c r="I124" s="338"/>
      <c r="J124" s="338"/>
      <c r="K124" s="337" t="s">
        <v>266</v>
      </c>
      <c r="L124" s="338"/>
      <c r="M124" s="338"/>
      <c r="N124" s="109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spans="1:26" s="119" customFormat="1" ht="11.25" x14ac:dyDescent="0.25">
      <c r="A125" s="345">
        <v>1</v>
      </c>
      <c r="B125" s="345">
        <v>2</v>
      </c>
      <c r="C125" s="345">
        <v>3</v>
      </c>
      <c r="D125" s="345">
        <v>4</v>
      </c>
      <c r="E125" s="346">
        <v>5</v>
      </c>
      <c r="F125" s="364"/>
      <c r="G125" s="345">
        <v>6</v>
      </c>
      <c r="H125" s="346">
        <v>7</v>
      </c>
      <c r="I125" s="347"/>
      <c r="J125" s="348"/>
      <c r="K125" s="346">
        <v>8</v>
      </c>
      <c r="L125" s="347"/>
      <c r="M125" s="348"/>
      <c r="N125" s="117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:26" s="111" customFormat="1" ht="16.899999999999999" customHeight="1" x14ac:dyDescent="0.25">
      <c r="A126" s="349">
        <v>1</v>
      </c>
      <c r="B126" s="443" t="s">
        <v>168</v>
      </c>
      <c r="C126" s="349"/>
      <c r="D126" s="349"/>
      <c r="E126" s="346"/>
      <c r="F126" s="364"/>
      <c r="G126" s="324">
        <v>2010.96</v>
      </c>
      <c r="H126" s="351">
        <v>0</v>
      </c>
      <c r="I126" s="343"/>
      <c r="J126" s="344"/>
      <c r="K126" s="351">
        <f>G126</f>
        <v>2010.96</v>
      </c>
      <c r="L126" s="343"/>
      <c r="M126" s="344"/>
      <c r="N126" s="109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spans="1:26" s="111" customFormat="1" ht="17.45" customHeight="1" x14ac:dyDescent="0.25">
      <c r="A127" s="349">
        <v>3</v>
      </c>
      <c r="B127" s="443" t="s">
        <v>212</v>
      </c>
      <c r="C127" s="349"/>
      <c r="D127" s="349">
        <v>12</v>
      </c>
      <c r="E127" s="346">
        <f>G127/D127</f>
        <v>583.33333333333303</v>
      </c>
      <c r="F127" s="364"/>
      <c r="G127" s="324">
        <v>7000</v>
      </c>
      <c r="H127" s="351">
        <v>0</v>
      </c>
      <c r="I127" s="343"/>
      <c r="J127" s="344"/>
      <c r="K127" s="351">
        <f>G127</f>
        <v>7000</v>
      </c>
      <c r="L127" s="343"/>
      <c r="M127" s="344"/>
      <c r="N127" s="109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spans="1:26" s="111" customFormat="1" ht="17.45" customHeight="1" x14ac:dyDescent="0.25">
      <c r="A128" s="349">
        <v>4</v>
      </c>
      <c r="B128" s="443" t="s">
        <v>311</v>
      </c>
      <c r="C128" s="349">
        <v>5</v>
      </c>
      <c r="D128" s="349">
        <v>8</v>
      </c>
      <c r="E128" s="444">
        <f>G128/C128/D128</f>
        <v>250</v>
      </c>
      <c r="F128" s="445"/>
      <c r="G128" s="324">
        <v>10000</v>
      </c>
      <c r="H128" s="351">
        <v>0</v>
      </c>
      <c r="I128" s="343"/>
      <c r="J128" s="344"/>
      <c r="K128" s="351">
        <v>10000</v>
      </c>
      <c r="L128" s="343"/>
      <c r="M128" s="344"/>
      <c r="N128" s="109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spans="1:26" s="111" customFormat="1" ht="17.45" customHeight="1" x14ac:dyDescent="0.25">
      <c r="A129" s="354">
        <v>5</v>
      </c>
      <c r="B129" s="443" t="s">
        <v>334</v>
      </c>
      <c r="C129" s="349"/>
      <c r="D129" s="349"/>
      <c r="E129" s="444"/>
      <c r="F129" s="445"/>
      <c r="G129" s="324">
        <v>164800</v>
      </c>
      <c r="H129" s="351">
        <v>0</v>
      </c>
      <c r="I129" s="343"/>
      <c r="J129" s="344"/>
      <c r="K129" s="351">
        <f>G129</f>
        <v>164800</v>
      </c>
      <c r="L129" s="343"/>
      <c r="M129" s="344"/>
      <c r="N129" s="109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spans="1:26" s="111" customFormat="1" ht="17.45" customHeight="1" x14ac:dyDescent="0.25">
      <c r="A130" s="354">
        <v>6</v>
      </c>
      <c r="B130" s="443" t="s">
        <v>359</v>
      </c>
      <c r="C130" s="349"/>
      <c r="D130" s="349"/>
      <c r="E130" s="444"/>
      <c r="F130" s="445"/>
      <c r="G130" s="324">
        <v>0</v>
      </c>
      <c r="H130" s="351">
        <v>2567.96</v>
      </c>
      <c r="I130" s="343"/>
      <c r="J130" s="344"/>
      <c r="K130" s="351">
        <f>G130</f>
        <v>0</v>
      </c>
      <c r="L130" s="343"/>
      <c r="M130" s="344"/>
      <c r="N130" s="109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spans="1:26" s="111" customFormat="1" ht="21.6" customHeight="1" x14ac:dyDescent="0.25">
      <c r="A131" s="322" t="s">
        <v>12</v>
      </c>
      <c r="B131" s="323"/>
      <c r="C131" s="349" t="s">
        <v>13</v>
      </c>
      <c r="D131" s="349" t="s">
        <v>13</v>
      </c>
      <c r="E131" s="346" t="s">
        <v>13</v>
      </c>
      <c r="F131" s="364"/>
      <c r="G131" s="325">
        <f>SUM(G126:G129)</f>
        <v>183810.96</v>
      </c>
      <c r="H131" s="357">
        <f>SUM(H126:J130)</f>
        <v>2567.96</v>
      </c>
      <c r="I131" s="446"/>
      <c r="J131" s="447"/>
      <c r="K131" s="357">
        <f t="shared" ref="K131" si="4">G131</f>
        <v>183810.96</v>
      </c>
      <c r="L131" s="446"/>
      <c r="M131" s="447"/>
      <c r="N131" s="109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spans="1:26" s="103" customFormat="1" ht="15.75" customHeight="1" x14ac:dyDescent="0.25">
      <c r="A132" s="330"/>
      <c r="B132" s="331"/>
      <c r="C132" s="331"/>
      <c r="D132" s="331"/>
      <c r="E132" s="331"/>
      <c r="F132" s="331"/>
      <c r="G132" s="331"/>
      <c r="H132" s="331"/>
      <c r="I132" s="331"/>
      <c r="J132" s="331"/>
      <c r="K132" s="331"/>
      <c r="L132" s="331"/>
      <c r="M132" s="331"/>
      <c r="N132" s="101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:26" s="103" customFormat="1" ht="14.25" customHeight="1" x14ac:dyDescent="0.25">
      <c r="A133" s="367" t="s">
        <v>199</v>
      </c>
      <c r="B133" s="367"/>
      <c r="C133" s="367"/>
      <c r="D133" s="367"/>
      <c r="E133" s="367"/>
      <c r="F133" s="367"/>
      <c r="G133" s="367"/>
      <c r="H133" s="367"/>
      <c r="I133" s="367"/>
      <c r="J133" s="367"/>
      <c r="K133" s="367"/>
      <c r="L133" s="367"/>
      <c r="M133" s="367"/>
      <c r="N133" s="101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:26" s="103" customFormat="1" ht="15" customHeight="1" x14ac:dyDescent="0.25">
      <c r="A134" s="330"/>
      <c r="B134" s="331"/>
      <c r="C134" s="331"/>
      <c r="D134" s="331"/>
      <c r="E134" s="331"/>
      <c r="F134" s="331"/>
      <c r="G134" s="331"/>
      <c r="H134" s="331"/>
      <c r="I134" s="331"/>
      <c r="J134" s="331"/>
      <c r="K134" s="331"/>
      <c r="L134" s="331"/>
      <c r="M134" s="331"/>
      <c r="N134" s="101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:26" s="103" customFormat="1" ht="16.5" customHeight="1" x14ac:dyDescent="0.25">
      <c r="A135" s="436" t="s">
        <v>5</v>
      </c>
      <c r="B135" s="334" t="s">
        <v>6</v>
      </c>
      <c r="C135" s="334" t="s">
        <v>42</v>
      </c>
      <c r="D135" s="334" t="s">
        <v>43</v>
      </c>
      <c r="E135" s="335" t="s">
        <v>44</v>
      </c>
      <c r="F135" s="369"/>
      <c r="G135" s="336"/>
      <c r="H135" s="337" t="s">
        <v>118</v>
      </c>
      <c r="I135" s="338"/>
      <c r="J135" s="338"/>
      <c r="K135" s="338"/>
      <c r="L135" s="338"/>
      <c r="M135" s="338"/>
      <c r="N135" s="101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:26" s="103" customFormat="1" ht="28.5" customHeight="1" x14ac:dyDescent="0.25">
      <c r="A136" s="339"/>
      <c r="B136" s="340"/>
      <c r="C136" s="340"/>
      <c r="D136" s="340"/>
      <c r="E136" s="370"/>
      <c r="F136" s="371"/>
      <c r="G136" s="372"/>
      <c r="H136" s="337" t="s">
        <v>132</v>
      </c>
      <c r="I136" s="338"/>
      <c r="J136" s="338"/>
      <c r="K136" s="337" t="s">
        <v>133</v>
      </c>
      <c r="L136" s="338"/>
      <c r="M136" s="338"/>
      <c r="N136" s="101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:26" s="116" customFormat="1" ht="10.15" customHeight="1" x14ac:dyDescent="0.25">
      <c r="A137" s="373" t="s">
        <v>34</v>
      </c>
      <c r="B137" s="374">
        <v>2</v>
      </c>
      <c r="C137" s="374">
        <v>3</v>
      </c>
      <c r="D137" s="374">
        <v>4</v>
      </c>
      <c r="E137" s="375">
        <v>5</v>
      </c>
      <c r="F137" s="375"/>
      <c r="G137" s="375"/>
      <c r="H137" s="376">
        <v>6</v>
      </c>
      <c r="I137" s="377"/>
      <c r="J137" s="378"/>
      <c r="K137" s="376">
        <v>7</v>
      </c>
      <c r="L137" s="377"/>
      <c r="M137" s="378"/>
      <c r="N137" s="114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s="103" customFormat="1" ht="17.45" customHeight="1" x14ac:dyDescent="0.25">
      <c r="A138" s="424" t="s">
        <v>34</v>
      </c>
      <c r="B138" s="380" t="s">
        <v>111</v>
      </c>
      <c r="C138" s="387">
        <v>10</v>
      </c>
      <c r="D138" s="408">
        <f>E138/C138</f>
        <v>0</v>
      </c>
      <c r="E138" s="381">
        <v>0</v>
      </c>
      <c r="F138" s="381"/>
      <c r="G138" s="381"/>
      <c r="H138" s="382">
        <v>0</v>
      </c>
      <c r="I138" s="383"/>
      <c r="J138" s="384"/>
      <c r="K138" s="382">
        <f>E138</f>
        <v>0</v>
      </c>
      <c r="L138" s="383"/>
      <c r="M138" s="384"/>
      <c r="N138" s="101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:26" s="103" customFormat="1" ht="15.6" customHeight="1" x14ac:dyDescent="0.25">
      <c r="A139" s="385" t="s">
        <v>12</v>
      </c>
      <c r="B139" s="386"/>
      <c r="C139" s="387" t="s">
        <v>13</v>
      </c>
      <c r="D139" s="387" t="s">
        <v>13</v>
      </c>
      <c r="E139" s="388">
        <f>SUM(E138:G138)</f>
        <v>0</v>
      </c>
      <c r="F139" s="388"/>
      <c r="G139" s="388"/>
      <c r="H139" s="389">
        <f>SUM(H138)</f>
        <v>0</v>
      </c>
      <c r="I139" s="383"/>
      <c r="J139" s="384"/>
      <c r="K139" s="389">
        <f>SUM(K138)</f>
        <v>0</v>
      </c>
      <c r="L139" s="383"/>
      <c r="M139" s="384"/>
      <c r="N139" s="101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:26" s="103" customFormat="1" ht="18.600000000000001" customHeight="1" x14ac:dyDescent="0.25">
      <c r="A140" s="448"/>
      <c r="B140" s="427"/>
      <c r="C140" s="428"/>
      <c r="D140" s="428"/>
      <c r="E140" s="449"/>
      <c r="F140" s="449"/>
      <c r="G140" s="449"/>
      <c r="H140" s="449"/>
      <c r="I140" s="449"/>
      <c r="J140" s="449"/>
      <c r="K140" s="449"/>
      <c r="L140" s="449"/>
      <c r="M140" s="449"/>
      <c r="N140" s="101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:26" s="111" customFormat="1" ht="15.75" customHeight="1" x14ac:dyDescent="0.25">
      <c r="A141" s="363" t="s">
        <v>244</v>
      </c>
      <c r="B141" s="363"/>
      <c r="C141" s="363"/>
      <c r="D141" s="363"/>
      <c r="E141" s="363"/>
      <c r="F141" s="363"/>
      <c r="G141" s="363"/>
      <c r="H141" s="363"/>
      <c r="I141" s="363"/>
      <c r="J141" s="363"/>
      <c r="K141" s="363"/>
      <c r="L141" s="363"/>
      <c r="M141" s="363"/>
      <c r="N141" s="109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spans="1:26" s="111" customFormat="1" ht="15.6" customHeight="1" x14ac:dyDescent="0.25">
      <c r="A142" s="332"/>
      <c r="B142" s="329"/>
      <c r="C142" s="329"/>
      <c r="D142" s="329"/>
      <c r="E142" s="329"/>
      <c r="F142" s="329"/>
      <c r="G142" s="329"/>
      <c r="H142" s="329"/>
      <c r="I142" s="329"/>
      <c r="J142" s="329"/>
      <c r="K142" s="329"/>
      <c r="L142" s="329"/>
      <c r="M142" s="329"/>
      <c r="N142" s="109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1:26" s="111" customFormat="1" ht="15" customHeight="1" x14ac:dyDescent="0.25">
      <c r="A143" s="334" t="s">
        <v>5</v>
      </c>
      <c r="B143" s="334" t="s">
        <v>31</v>
      </c>
      <c r="C143" s="334" t="s">
        <v>45</v>
      </c>
      <c r="D143" s="334" t="s">
        <v>248</v>
      </c>
      <c r="E143" s="335" t="s">
        <v>47</v>
      </c>
      <c r="F143" s="336"/>
      <c r="G143" s="334" t="s">
        <v>9</v>
      </c>
      <c r="H143" s="337" t="s">
        <v>118</v>
      </c>
      <c r="I143" s="338"/>
      <c r="J143" s="338"/>
      <c r="K143" s="338"/>
      <c r="L143" s="338"/>
      <c r="M143" s="338"/>
      <c r="N143" s="109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1:26" s="111" customFormat="1" ht="16.5" customHeight="1" x14ac:dyDescent="0.25">
      <c r="A144" s="450"/>
      <c r="B144" s="450"/>
      <c r="C144" s="450"/>
      <c r="D144" s="450"/>
      <c r="E144" s="451"/>
      <c r="F144" s="452"/>
      <c r="G144" s="450"/>
      <c r="H144" s="337" t="s">
        <v>200</v>
      </c>
      <c r="I144" s="338"/>
      <c r="J144" s="338"/>
      <c r="K144" s="337" t="s">
        <v>201</v>
      </c>
      <c r="L144" s="338"/>
      <c r="M144" s="338"/>
      <c r="N144" s="109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:26" s="111" customFormat="1" ht="94.15" customHeight="1" x14ac:dyDescent="0.25">
      <c r="A145" s="340"/>
      <c r="B145" s="340"/>
      <c r="C145" s="340"/>
      <c r="D145" s="340"/>
      <c r="E145" s="341"/>
      <c r="F145" s="342"/>
      <c r="G145" s="340"/>
      <c r="H145" s="453" t="s">
        <v>45</v>
      </c>
      <c r="I145" s="454" t="s">
        <v>152</v>
      </c>
      <c r="J145" s="454" t="s">
        <v>150</v>
      </c>
      <c r="K145" s="453" t="s">
        <v>45</v>
      </c>
      <c r="L145" s="454" t="s">
        <v>134</v>
      </c>
      <c r="M145" s="454" t="s">
        <v>151</v>
      </c>
      <c r="N145" s="109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1:26" s="119" customFormat="1" ht="11.25" x14ac:dyDescent="0.25">
      <c r="A146" s="345">
        <v>1</v>
      </c>
      <c r="B146" s="455">
        <v>2</v>
      </c>
      <c r="C146" s="345">
        <v>3</v>
      </c>
      <c r="D146" s="345">
        <v>4</v>
      </c>
      <c r="E146" s="346">
        <v>5</v>
      </c>
      <c r="F146" s="364"/>
      <c r="G146" s="345">
        <v>6</v>
      </c>
      <c r="H146" s="345">
        <v>7</v>
      </c>
      <c r="I146" s="456">
        <v>8</v>
      </c>
      <c r="J146" s="456">
        <v>9</v>
      </c>
      <c r="K146" s="345">
        <v>10</v>
      </c>
      <c r="L146" s="456">
        <v>11</v>
      </c>
      <c r="M146" s="456">
        <v>12</v>
      </c>
      <c r="N146" s="117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:26" s="119" customFormat="1" ht="12.75" x14ac:dyDescent="0.25">
      <c r="A147" s="349">
        <v>1</v>
      </c>
      <c r="B147" s="443" t="s">
        <v>73</v>
      </c>
      <c r="C147" s="324">
        <f>G147/D147</f>
        <v>340.36</v>
      </c>
      <c r="D147" s="457">
        <v>44.97</v>
      </c>
      <c r="E147" s="346"/>
      <c r="F147" s="364"/>
      <c r="G147" s="324">
        <v>15305.8</v>
      </c>
      <c r="H147" s="458">
        <v>1542.56</v>
      </c>
      <c r="I147" s="458">
        <v>44.08</v>
      </c>
      <c r="J147" s="458">
        <v>10800.88</v>
      </c>
      <c r="K147" s="458">
        <f t="shared" ref="K147" si="5">C147</f>
        <v>340.36</v>
      </c>
      <c r="L147" s="458">
        <f t="shared" ref="L147" si="6">D147</f>
        <v>44.97</v>
      </c>
      <c r="M147" s="458">
        <f t="shared" ref="M147" si="7">G147</f>
        <v>15305.8</v>
      </c>
      <c r="N147" s="117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:26" s="111" customFormat="1" x14ac:dyDescent="0.25">
      <c r="A148" s="349">
        <v>2</v>
      </c>
      <c r="B148" s="443" t="s">
        <v>74</v>
      </c>
      <c r="C148" s="324">
        <f>G148/D148</f>
        <v>319.43</v>
      </c>
      <c r="D148" s="349">
        <v>41.49</v>
      </c>
      <c r="E148" s="346"/>
      <c r="F148" s="364"/>
      <c r="G148" s="324">
        <v>13252.95</v>
      </c>
      <c r="H148" s="458">
        <v>1542.56</v>
      </c>
      <c r="I148" s="458">
        <v>38.86</v>
      </c>
      <c r="J148" s="458">
        <v>9353.77</v>
      </c>
      <c r="K148" s="458">
        <f>C148</f>
        <v>319.43</v>
      </c>
      <c r="L148" s="458">
        <f>D148</f>
        <v>41.49</v>
      </c>
      <c r="M148" s="458">
        <f>G148</f>
        <v>13252.95</v>
      </c>
      <c r="N148" s="117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:26" s="111" customFormat="1" ht="17.25" customHeight="1" x14ac:dyDescent="0.25">
      <c r="A149" s="349">
        <v>3</v>
      </c>
      <c r="B149" s="443" t="s">
        <v>241</v>
      </c>
      <c r="C149" s="324">
        <f>G149/D149</f>
        <v>136.79</v>
      </c>
      <c r="D149" s="349">
        <v>41.49</v>
      </c>
      <c r="E149" s="346"/>
      <c r="F149" s="364"/>
      <c r="G149" s="324">
        <v>5675.37</v>
      </c>
      <c r="H149" s="458"/>
      <c r="I149" s="458"/>
      <c r="J149" s="458">
        <v>0</v>
      </c>
      <c r="K149" s="458"/>
      <c r="L149" s="458"/>
      <c r="M149" s="458">
        <f>G149</f>
        <v>5675.37</v>
      </c>
      <c r="N149" s="117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1:26" s="111" customFormat="1" x14ac:dyDescent="0.25">
      <c r="A150" s="349">
        <v>4</v>
      </c>
      <c r="B150" s="443" t="s">
        <v>160</v>
      </c>
      <c r="C150" s="324">
        <f>G150/D150</f>
        <v>85.9</v>
      </c>
      <c r="D150" s="349">
        <v>973.86</v>
      </c>
      <c r="E150" s="346"/>
      <c r="F150" s="364"/>
      <c r="G150" s="324">
        <v>83657.38</v>
      </c>
      <c r="H150" s="458">
        <f>J150/I150</f>
        <v>76.48</v>
      </c>
      <c r="I150" s="458">
        <v>866.1</v>
      </c>
      <c r="J150" s="458">
        <v>66240.53</v>
      </c>
      <c r="K150" s="458">
        <f>C150</f>
        <v>85.9</v>
      </c>
      <c r="L150" s="458">
        <f>D150</f>
        <v>973.86</v>
      </c>
      <c r="M150" s="458">
        <f>G150</f>
        <v>83657.38</v>
      </c>
      <c r="N150" s="109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:26" s="111" customFormat="1" ht="13.9" customHeight="1" x14ac:dyDescent="0.25">
      <c r="A151" s="322" t="s">
        <v>12</v>
      </c>
      <c r="B151" s="323"/>
      <c r="C151" s="324" t="s">
        <v>13</v>
      </c>
      <c r="D151" s="324" t="s">
        <v>13</v>
      </c>
      <c r="E151" s="346" t="s">
        <v>13</v>
      </c>
      <c r="F151" s="364"/>
      <c r="G151" s="325">
        <f>SUM(G147:G150)</f>
        <v>117891.5</v>
      </c>
      <c r="H151" s="459" t="s">
        <v>13</v>
      </c>
      <c r="I151" s="459" t="s">
        <v>13</v>
      </c>
      <c r="J151" s="459">
        <f>SUM(J147:J150)</f>
        <v>86395.18</v>
      </c>
      <c r="K151" s="325" t="s">
        <v>13</v>
      </c>
      <c r="L151" s="325" t="s">
        <v>13</v>
      </c>
      <c r="M151" s="459">
        <f>SUM(M147:M150)</f>
        <v>117891.5</v>
      </c>
      <c r="N151" s="109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1:26" s="103" customFormat="1" ht="9" customHeight="1" x14ac:dyDescent="0.25">
      <c r="A152" s="330"/>
      <c r="B152" s="331"/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101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:26" s="103" customFormat="1" ht="11.25" customHeight="1" x14ac:dyDescent="0.25">
      <c r="A153" s="367" t="s">
        <v>202</v>
      </c>
      <c r="B153" s="367"/>
      <c r="C153" s="367"/>
      <c r="D153" s="367"/>
      <c r="E153" s="367"/>
      <c r="F153" s="367"/>
      <c r="G153" s="367"/>
      <c r="H153" s="367"/>
      <c r="I153" s="367"/>
      <c r="J153" s="367"/>
      <c r="K153" s="367"/>
      <c r="L153" s="367"/>
      <c r="M153" s="367"/>
      <c r="N153" s="101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:26" s="103" customFormat="1" ht="4.9000000000000004" customHeight="1" x14ac:dyDescent="0.25">
      <c r="A154" s="330"/>
      <c r="B154" s="331"/>
      <c r="C154" s="331"/>
      <c r="D154" s="331"/>
      <c r="E154" s="331"/>
      <c r="F154" s="331"/>
      <c r="G154" s="331"/>
      <c r="H154" s="331"/>
      <c r="I154" s="331"/>
      <c r="J154" s="331"/>
      <c r="K154" s="331"/>
      <c r="L154" s="331"/>
      <c r="M154" s="331"/>
      <c r="N154" s="101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:26" s="103" customFormat="1" ht="14.25" customHeight="1" x14ac:dyDescent="0.25">
      <c r="A155" s="368" t="s">
        <v>5</v>
      </c>
      <c r="B155" s="334" t="s">
        <v>31</v>
      </c>
      <c r="C155" s="334" t="s">
        <v>48</v>
      </c>
      <c r="D155" s="334" t="s">
        <v>49</v>
      </c>
      <c r="E155" s="335" t="s">
        <v>50</v>
      </c>
      <c r="F155" s="369"/>
      <c r="G155" s="336"/>
      <c r="H155" s="337" t="s">
        <v>118</v>
      </c>
      <c r="I155" s="338"/>
      <c r="J155" s="338"/>
      <c r="K155" s="338"/>
      <c r="L155" s="338"/>
      <c r="M155" s="338"/>
      <c r="N155" s="101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:26" s="103" customFormat="1" ht="42" customHeight="1" x14ac:dyDescent="0.25">
      <c r="A156" s="340"/>
      <c r="B156" s="340"/>
      <c r="C156" s="340"/>
      <c r="D156" s="340"/>
      <c r="E156" s="370"/>
      <c r="F156" s="371"/>
      <c r="G156" s="372"/>
      <c r="H156" s="322" t="s">
        <v>264</v>
      </c>
      <c r="I156" s="343"/>
      <c r="J156" s="344"/>
      <c r="K156" s="322" t="s">
        <v>263</v>
      </c>
      <c r="L156" s="343"/>
      <c r="M156" s="344"/>
      <c r="N156" s="101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:26" s="116" customFormat="1" ht="9" customHeight="1" x14ac:dyDescent="0.25">
      <c r="A157" s="373" t="s">
        <v>34</v>
      </c>
      <c r="B157" s="374">
        <v>2</v>
      </c>
      <c r="C157" s="374">
        <v>3</v>
      </c>
      <c r="D157" s="374">
        <v>4</v>
      </c>
      <c r="E157" s="375">
        <v>5</v>
      </c>
      <c r="F157" s="375"/>
      <c r="G157" s="375"/>
      <c r="H157" s="376">
        <v>6</v>
      </c>
      <c r="I157" s="377"/>
      <c r="J157" s="378"/>
      <c r="K157" s="376">
        <v>7</v>
      </c>
      <c r="L157" s="377"/>
      <c r="M157" s="378"/>
      <c r="N157" s="114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s="103" customFormat="1" x14ac:dyDescent="0.25">
      <c r="A158" s="424" t="s">
        <v>34</v>
      </c>
      <c r="B158" s="460"/>
      <c r="C158" s="380">
        <v>0</v>
      </c>
      <c r="D158" s="380">
        <v>0</v>
      </c>
      <c r="E158" s="381">
        <v>0</v>
      </c>
      <c r="F158" s="381"/>
      <c r="G158" s="381"/>
      <c r="H158" s="461">
        <v>0</v>
      </c>
      <c r="I158" s="383"/>
      <c r="J158" s="384"/>
      <c r="K158" s="461">
        <v>0</v>
      </c>
      <c r="L158" s="383"/>
      <c r="M158" s="384"/>
      <c r="N158" s="101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:26" s="103" customFormat="1" ht="12" customHeight="1" x14ac:dyDescent="0.25">
      <c r="A159" s="385" t="s">
        <v>12</v>
      </c>
      <c r="B159" s="386"/>
      <c r="C159" s="387" t="s">
        <v>13</v>
      </c>
      <c r="D159" s="387" t="s">
        <v>13</v>
      </c>
      <c r="E159" s="388">
        <f>SUM(E158:G158)</f>
        <v>0</v>
      </c>
      <c r="F159" s="388"/>
      <c r="G159" s="388"/>
      <c r="H159" s="389">
        <v>0</v>
      </c>
      <c r="I159" s="441"/>
      <c r="J159" s="442"/>
      <c r="K159" s="389">
        <v>0</v>
      </c>
      <c r="L159" s="441"/>
      <c r="M159" s="442"/>
      <c r="N159" s="101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:26" s="103" customFormat="1" ht="11.45" customHeight="1" x14ac:dyDescent="0.25">
      <c r="A160" s="330"/>
      <c r="B160" s="331"/>
      <c r="C160" s="331"/>
      <c r="D160" s="331"/>
      <c r="E160" s="331"/>
      <c r="F160" s="331"/>
      <c r="G160" s="331"/>
      <c r="H160" s="331"/>
      <c r="I160" s="331"/>
      <c r="J160" s="331"/>
      <c r="K160" s="331"/>
      <c r="L160" s="331"/>
      <c r="M160" s="331"/>
      <c r="N160" s="101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:26" s="103" customFormat="1" ht="13.5" customHeight="1" x14ac:dyDescent="0.25">
      <c r="A161" s="367" t="s">
        <v>203</v>
      </c>
      <c r="B161" s="367"/>
      <c r="C161" s="367"/>
      <c r="D161" s="367"/>
      <c r="E161" s="367"/>
      <c r="F161" s="367"/>
      <c r="G161" s="367"/>
      <c r="H161" s="367"/>
      <c r="I161" s="367"/>
      <c r="J161" s="367"/>
      <c r="K161" s="367"/>
      <c r="L161" s="367"/>
      <c r="M161" s="367"/>
      <c r="N161" s="101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:26" s="103" customFormat="1" ht="10.5" customHeight="1" x14ac:dyDescent="0.25">
      <c r="A162" s="330"/>
      <c r="B162" s="331"/>
      <c r="C162" s="331"/>
      <c r="D162" s="331"/>
      <c r="E162" s="331"/>
      <c r="F162" s="331"/>
      <c r="G162" s="331"/>
      <c r="H162" s="331"/>
      <c r="I162" s="331"/>
      <c r="J162" s="331"/>
      <c r="K162" s="331"/>
      <c r="L162" s="331"/>
      <c r="M162" s="331"/>
      <c r="N162" s="101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:26" s="103" customFormat="1" ht="17.25" customHeight="1" x14ac:dyDescent="0.25">
      <c r="A163" s="368" t="s">
        <v>5</v>
      </c>
      <c r="B163" s="334" t="s">
        <v>6</v>
      </c>
      <c r="C163" s="334" t="s">
        <v>51</v>
      </c>
      <c r="D163" s="334" t="s">
        <v>52</v>
      </c>
      <c r="E163" s="335" t="s">
        <v>53</v>
      </c>
      <c r="F163" s="369"/>
      <c r="G163" s="336"/>
      <c r="H163" s="337" t="s">
        <v>118</v>
      </c>
      <c r="I163" s="338"/>
      <c r="J163" s="338"/>
      <c r="K163" s="338"/>
      <c r="L163" s="338"/>
      <c r="M163" s="338"/>
      <c r="N163" s="101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:26" s="103" customFormat="1" ht="42" customHeight="1" x14ac:dyDescent="0.25">
      <c r="A164" s="340"/>
      <c r="B164" s="340"/>
      <c r="C164" s="340"/>
      <c r="D164" s="340"/>
      <c r="E164" s="370"/>
      <c r="F164" s="371"/>
      <c r="G164" s="372"/>
      <c r="H164" s="322" t="s">
        <v>261</v>
      </c>
      <c r="I164" s="343"/>
      <c r="J164" s="344"/>
      <c r="K164" s="322" t="s">
        <v>262</v>
      </c>
      <c r="L164" s="343"/>
      <c r="M164" s="344"/>
      <c r="N164" s="101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</row>
    <row r="165" spans="1:26" s="116" customFormat="1" ht="9" customHeight="1" x14ac:dyDescent="0.25">
      <c r="A165" s="373" t="s">
        <v>34</v>
      </c>
      <c r="B165" s="374">
        <v>2</v>
      </c>
      <c r="C165" s="374">
        <v>3</v>
      </c>
      <c r="D165" s="374">
        <v>4</v>
      </c>
      <c r="E165" s="375">
        <v>5</v>
      </c>
      <c r="F165" s="375"/>
      <c r="G165" s="375"/>
      <c r="H165" s="376">
        <v>6</v>
      </c>
      <c r="I165" s="377"/>
      <c r="J165" s="378"/>
      <c r="K165" s="376">
        <v>7</v>
      </c>
      <c r="L165" s="377"/>
      <c r="M165" s="378"/>
      <c r="N165" s="114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s="103" customFormat="1" ht="30" customHeight="1" x14ac:dyDescent="0.25">
      <c r="A166" s="424" t="s">
        <v>34</v>
      </c>
      <c r="B166" s="350" t="s">
        <v>165</v>
      </c>
      <c r="C166" s="462" t="s">
        <v>167</v>
      </c>
      <c r="D166" s="463">
        <v>6</v>
      </c>
      <c r="E166" s="351">
        <v>25000</v>
      </c>
      <c r="F166" s="355"/>
      <c r="G166" s="356"/>
      <c r="H166" s="351">
        <v>23400</v>
      </c>
      <c r="I166" s="355"/>
      <c r="J166" s="356"/>
      <c r="K166" s="382">
        <f t="shared" ref="K166" si="8">E166</f>
        <v>25000</v>
      </c>
      <c r="L166" s="431"/>
      <c r="M166" s="412"/>
      <c r="N166" s="101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</row>
    <row r="167" spans="1:26" s="103" customFormat="1" ht="15" customHeight="1" x14ac:dyDescent="0.25">
      <c r="A167" s="424" t="s">
        <v>19</v>
      </c>
      <c r="B167" s="350" t="s">
        <v>289</v>
      </c>
      <c r="C167" s="462" t="s">
        <v>71</v>
      </c>
      <c r="D167" s="463">
        <v>1</v>
      </c>
      <c r="E167" s="351">
        <f>100000+1723357.82-256101</f>
        <v>1567256.82</v>
      </c>
      <c r="F167" s="355"/>
      <c r="G167" s="356"/>
      <c r="H167" s="351">
        <v>0</v>
      </c>
      <c r="I167" s="355"/>
      <c r="J167" s="356"/>
      <c r="K167" s="382">
        <f t="shared" ref="K167" si="9">E167</f>
        <v>1567256.82</v>
      </c>
      <c r="L167" s="431"/>
      <c r="M167" s="412"/>
      <c r="N167" s="101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</row>
    <row r="168" spans="1:26" s="103" customFormat="1" ht="13.5" customHeight="1" x14ac:dyDescent="0.25">
      <c r="A168" s="424" t="s">
        <v>25</v>
      </c>
      <c r="B168" s="350" t="s">
        <v>322</v>
      </c>
      <c r="C168" s="462" t="s">
        <v>71</v>
      </c>
      <c r="D168" s="463">
        <v>1</v>
      </c>
      <c r="E168" s="351">
        <v>50000</v>
      </c>
      <c r="F168" s="355"/>
      <c r="G168" s="356"/>
      <c r="H168" s="351">
        <v>0</v>
      </c>
      <c r="I168" s="355"/>
      <c r="J168" s="356"/>
      <c r="K168" s="382">
        <f t="shared" ref="K168" si="10">E168</f>
        <v>50000</v>
      </c>
      <c r="L168" s="431"/>
      <c r="M168" s="412"/>
      <c r="N168" s="101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</row>
    <row r="169" spans="1:26" s="103" customFormat="1" x14ac:dyDescent="0.25">
      <c r="A169" s="424" t="s">
        <v>63</v>
      </c>
      <c r="B169" s="350" t="s">
        <v>324</v>
      </c>
      <c r="C169" s="462"/>
      <c r="D169" s="463">
        <v>4</v>
      </c>
      <c r="E169" s="351">
        <v>50000</v>
      </c>
      <c r="F169" s="355"/>
      <c r="G169" s="356"/>
      <c r="H169" s="351">
        <v>0</v>
      </c>
      <c r="I169" s="355"/>
      <c r="J169" s="356"/>
      <c r="K169" s="382">
        <f t="shared" ref="K169" si="11">E169</f>
        <v>50000</v>
      </c>
      <c r="L169" s="431"/>
      <c r="M169" s="431"/>
      <c r="N169" s="101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</row>
    <row r="170" spans="1:26" s="103" customFormat="1" ht="27" customHeight="1" x14ac:dyDescent="0.25">
      <c r="A170" s="424" t="s">
        <v>64</v>
      </c>
      <c r="B170" s="350" t="s">
        <v>325</v>
      </c>
      <c r="C170" s="462"/>
      <c r="D170" s="463">
        <v>4</v>
      </c>
      <c r="E170" s="351">
        <f>40000+10000</f>
        <v>50000</v>
      </c>
      <c r="F170" s="355"/>
      <c r="G170" s="356"/>
      <c r="H170" s="351">
        <v>0</v>
      </c>
      <c r="I170" s="355"/>
      <c r="J170" s="356"/>
      <c r="K170" s="382">
        <f t="shared" ref="K170" si="12">E170</f>
        <v>50000</v>
      </c>
      <c r="L170" s="431"/>
      <c r="M170" s="431"/>
      <c r="N170" s="101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</row>
    <row r="171" spans="1:26" s="103" customFormat="1" ht="19.5" customHeight="1" x14ac:dyDescent="0.25">
      <c r="A171" s="424" t="s">
        <v>65</v>
      </c>
      <c r="B171" s="350" t="s">
        <v>323</v>
      </c>
      <c r="C171" s="462" t="s">
        <v>71</v>
      </c>
      <c r="D171" s="463">
        <v>5</v>
      </c>
      <c r="E171" s="351">
        <v>26000</v>
      </c>
      <c r="F171" s="464"/>
      <c r="G171" s="465"/>
      <c r="H171" s="351">
        <v>0</v>
      </c>
      <c r="I171" s="464"/>
      <c r="J171" s="465"/>
      <c r="K171" s="382">
        <f t="shared" ref="K171" si="13">E171</f>
        <v>26000</v>
      </c>
      <c r="L171" s="466"/>
      <c r="M171" s="466"/>
      <c r="N171" s="101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</row>
    <row r="172" spans="1:26" s="103" customFormat="1" ht="17.25" customHeight="1" x14ac:dyDescent="0.25">
      <c r="A172" s="424" t="s">
        <v>66</v>
      </c>
      <c r="B172" s="350" t="s">
        <v>326</v>
      </c>
      <c r="C172" s="462" t="s">
        <v>71</v>
      </c>
      <c r="D172" s="463">
        <v>1</v>
      </c>
      <c r="E172" s="351">
        <v>200000</v>
      </c>
      <c r="F172" s="355"/>
      <c r="G172" s="356"/>
      <c r="H172" s="351">
        <v>0</v>
      </c>
      <c r="I172" s="355"/>
      <c r="J172" s="356"/>
      <c r="K172" s="382">
        <f t="shared" ref="K172" si="14">E172</f>
        <v>200000</v>
      </c>
      <c r="L172" s="431"/>
      <c r="M172" s="431"/>
      <c r="N172" s="101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</row>
    <row r="173" spans="1:26" s="103" customFormat="1" ht="17.25" customHeight="1" x14ac:dyDescent="0.25">
      <c r="A173" s="424" t="s">
        <v>67</v>
      </c>
      <c r="B173" s="350" t="s">
        <v>335</v>
      </c>
      <c r="C173" s="462" t="s">
        <v>71</v>
      </c>
      <c r="D173" s="463">
        <v>1</v>
      </c>
      <c r="E173" s="351">
        <v>413881.92</v>
      </c>
      <c r="F173" s="355"/>
      <c r="G173" s="356"/>
      <c r="H173" s="351">
        <v>4329.5</v>
      </c>
      <c r="I173" s="355"/>
      <c r="J173" s="356"/>
      <c r="K173" s="382">
        <f t="shared" ref="K173" si="15">E173</f>
        <v>413881.92</v>
      </c>
      <c r="L173" s="431"/>
      <c r="M173" s="431"/>
      <c r="N173" s="101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</row>
    <row r="174" spans="1:26" s="103" customFormat="1" ht="27" customHeight="1" x14ac:dyDescent="0.25">
      <c r="A174" s="424" t="s">
        <v>68</v>
      </c>
      <c r="B174" s="350" t="s">
        <v>336</v>
      </c>
      <c r="C174" s="462" t="s">
        <v>71</v>
      </c>
      <c r="D174" s="463">
        <v>1</v>
      </c>
      <c r="E174" s="351">
        <v>486000</v>
      </c>
      <c r="F174" s="355"/>
      <c r="G174" s="356"/>
      <c r="H174" s="351">
        <v>0</v>
      </c>
      <c r="I174" s="355"/>
      <c r="J174" s="356"/>
      <c r="K174" s="382">
        <f t="shared" ref="K174" si="16">E174</f>
        <v>486000</v>
      </c>
      <c r="L174" s="431"/>
      <c r="M174" s="431"/>
      <c r="N174" s="101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spans="1:26" s="103" customFormat="1" ht="27" customHeight="1" x14ac:dyDescent="0.25">
      <c r="A175" s="424" t="s">
        <v>69</v>
      </c>
      <c r="B175" s="350" t="s">
        <v>337</v>
      </c>
      <c r="C175" s="462" t="s">
        <v>71</v>
      </c>
      <c r="D175" s="463">
        <v>1</v>
      </c>
      <c r="E175" s="351">
        <v>70200</v>
      </c>
      <c r="F175" s="355"/>
      <c r="G175" s="356"/>
      <c r="H175" s="351">
        <v>328.54</v>
      </c>
      <c r="I175" s="355"/>
      <c r="J175" s="356"/>
      <c r="K175" s="382">
        <f t="shared" ref="K175" si="17">E175</f>
        <v>70200</v>
      </c>
      <c r="L175" s="431"/>
      <c r="M175" s="431"/>
      <c r="N175" s="101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spans="1:26" s="103" customFormat="1" ht="20.25" customHeight="1" x14ac:dyDescent="0.25">
      <c r="A176" s="424" t="s">
        <v>70</v>
      </c>
      <c r="B176" s="350" t="s">
        <v>338</v>
      </c>
      <c r="C176" s="462" t="s">
        <v>339</v>
      </c>
      <c r="D176" s="463">
        <v>1</v>
      </c>
      <c r="E176" s="351">
        <v>25000</v>
      </c>
      <c r="F176" s="355"/>
      <c r="G176" s="356"/>
      <c r="H176" s="351">
        <v>0</v>
      </c>
      <c r="I176" s="355"/>
      <c r="J176" s="356"/>
      <c r="K176" s="382">
        <f t="shared" ref="K176" si="18">E176</f>
        <v>25000</v>
      </c>
      <c r="L176" s="431"/>
      <c r="M176" s="431"/>
      <c r="N176" s="101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spans="1:26" s="103" customFormat="1" ht="20.25" customHeight="1" x14ac:dyDescent="0.25">
      <c r="A177" s="424" t="s">
        <v>77</v>
      </c>
      <c r="B177" s="350" t="s">
        <v>109</v>
      </c>
      <c r="C177" s="462" t="s">
        <v>71</v>
      </c>
      <c r="D177" s="463">
        <v>1</v>
      </c>
      <c r="E177" s="351">
        <f>145.08</f>
        <v>145.08000000000001</v>
      </c>
      <c r="F177" s="464"/>
      <c r="G177" s="465"/>
      <c r="H177" s="351">
        <v>233.94</v>
      </c>
      <c r="I177" s="464"/>
      <c r="J177" s="465"/>
      <c r="K177" s="382">
        <f>E177</f>
        <v>145.08000000000001</v>
      </c>
      <c r="L177" s="466"/>
      <c r="M177" s="466"/>
      <c r="N177" s="101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spans="1:26" s="116" customFormat="1" ht="25.5" x14ac:dyDescent="0.25">
      <c r="A178" s="424" t="s">
        <v>162</v>
      </c>
      <c r="B178" s="350" t="s">
        <v>365</v>
      </c>
      <c r="C178" s="462" t="s">
        <v>375</v>
      </c>
      <c r="D178" s="463">
        <v>1</v>
      </c>
      <c r="E178" s="351">
        <v>150000</v>
      </c>
      <c r="F178" s="355"/>
      <c r="G178" s="356"/>
      <c r="H178" s="351">
        <v>0</v>
      </c>
      <c r="I178" s="355"/>
      <c r="J178" s="356"/>
      <c r="K178" s="382">
        <f>E178</f>
        <v>150000</v>
      </c>
      <c r="L178" s="431"/>
      <c r="M178" s="412"/>
      <c r="N178" s="114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s="165" customFormat="1" ht="12.75" x14ac:dyDescent="0.25">
      <c r="A179" s="424" t="s">
        <v>297</v>
      </c>
      <c r="B179" s="350" t="s">
        <v>374</v>
      </c>
      <c r="C179" s="462" t="s">
        <v>375</v>
      </c>
      <c r="D179" s="463">
        <v>1</v>
      </c>
      <c r="E179" s="351">
        <f>9980</f>
        <v>9980</v>
      </c>
      <c r="F179" s="355"/>
      <c r="G179" s="356"/>
      <c r="H179" s="351">
        <v>0</v>
      </c>
      <c r="I179" s="355"/>
      <c r="J179" s="356"/>
      <c r="K179" s="382">
        <f>E179</f>
        <v>9980</v>
      </c>
      <c r="L179" s="431"/>
      <c r="M179" s="412"/>
      <c r="N179" s="162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</row>
    <row r="180" spans="1:26" s="103" customFormat="1" ht="18.600000000000001" customHeight="1" x14ac:dyDescent="0.25">
      <c r="A180" s="424" t="s">
        <v>297</v>
      </c>
      <c r="B180" s="350" t="s">
        <v>161</v>
      </c>
      <c r="C180" s="462"/>
      <c r="D180" s="463"/>
      <c r="E180" s="351">
        <v>0</v>
      </c>
      <c r="F180" s="355"/>
      <c r="G180" s="356"/>
      <c r="H180" s="351">
        <v>11067.05</v>
      </c>
      <c r="I180" s="355"/>
      <c r="J180" s="356"/>
      <c r="K180" s="382">
        <v>0</v>
      </c>
      <c r="L180" s="431"/>
      <c r="M180" s="431"/>
      <c r="N180" s="101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spans="1:26" s="168" customFormat="1" x14ac:dyDescent="0.25">
      <c r="A181" s="385" t="s">
        <v>12</v>
      </c>
      <c r="B181" s="386"/>
      <c r="C181" s="387" t="s">
        <v>13</v>
      </c>
      <c r="D181" s="387" t="s">
        <v>13</v>
      </c>
      <c r="E181" s="388">
        <f>SUM(E166:G180)</f>
        <v>3123463.82</v>
      </c>
      <c r="F181" s="388"/>
      <c r="G181" s="467"/>
      <c r="H181" s="389">
        <f>SUM(H166:J180)</f>
        <v>39359.03</v>
      </c>
      <c r="I181" s="468"/>
      <c r="J181" s="417"/>
      <c r="K181" s="389">
        <f>SUM(K166:M180)</f>
        <v>3123463.82</v>
      </c>
      <c r="L181" s="468"/>
      <c r="M181" s="417"/>
      <c r="N181" s="166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</row>
    <row r="182" spans="1:26" s="103" customFormat="1" ht="16.149999999999999" customHeight="1" x14ac:dyDescent="0.25">
      <c r="A182" s="448"/>
      <c r="B182" s="427"/>
      <c r="C182" s="428"/>
      <c r="D182" s="428"/>
      <c r="E182" s="449"/>
      <c r="F182" s="449"/>
      <c r="G182" s="469"/>
      <c r="H182" s="470"/>
      <c r="I182" s="470"/>
      <c r="J182" s="470"/>
      <c r="K182" s="470"/>
      <c r="L182" s="470"/>
      <c r="M182" s="470"/>
      <c r="N182" s="101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spans="1:26" s="103" customFormat="1" ht="19.149999999999999" customHeight="1" x14ac:dyDescent="0.25">
      <c r="A183" s="367" t="s">
        <v>204</v>
      </c>
      <c r="B183" s="367"/>
      <c r="C183" s="367"/>
      <c r="D183" s="367"/>
      <c r="E183" s="367"/>
      <c r="F183" s="367"/>
      <c r="G183" s="367"/>
      <c r="H183" s="367"/>
      <c r="I183" s="367"/>
      <c r="J183" s="367"/>
      <c r="K183" s="367"/>
      <c r="L183" s="367"/>
      <c r="M183" s="367"/>
      <c r="N183" s="101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spans="1:26" s="103" customFormat="1" ht="13.9" customHeight="1" x14ac:dyDescent="0.25">
      <c r="A184" s="330"/>
      <c r="B184" s="331"/>
      <c r="C184" s="331"/>
      <c r="D184" s="331"/>
      <c r="E184" s="331"/>
      <c r="F184" s="331"/>
      <c r="G184" s="331"/>
      <c r="H184" s="331"/>
      <c r="I184" s="331"/>
      <c r="J184" s="331"/>
      <c r="K184" s="331"/>
      <c r="L184" s="331"/>
      <c r="M184" s="331"/>
      <c r="N184" s="101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spans="1:26" s="103" customFormat="1" ht="13.5" customHeight="1" x14ac:dyDescent="0.25">
      <c r="A185" s="471" t="s">
        <v>0</v>
      </c>
      <c r="B185" s="472" t="s">
        <v>6</v>
      </c>
      <c r="C185" s="473" t="s">
        <v>54</v>
      </c>
      <c r="D185" s="474"/>
      <c r="E185" s="473" t="s">
        <v>55</v>
      </c>
      <c r="F185" s="475"/>
      <c r="G185" s="476"/>
      <c r="H185" s="477" t="s">
        <v>118</v>
      </c>
      <c r="I185" s="478"/>
      <c r="J185" s="478"/>
      <c r="K185" s="478"/>
      <c r="L185" s="478"/>
      <c r="M185" s="478"/>
      <c r="N185" s="101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 s="103" customFormat="1" ht="39" customHeight="1" x14ac:dyDescent="0.25">
      <c r="A186" s="479"/>
      <c r="B186" s="479"/>
      <c r="C186" s="480"/>
      <c r="D186" s="481"/>
      <c r="E186" s="480"/>
      <c r="F186" s="482"/>
      <c r="G186" s="481"/>
      <c r="H186" s="483" t="s">
        <v>259</v>
      </c>
      <c r="I186" s="484"/>
      <c r="J186" s="485"/>
      <c r="K186" s="483" t="s">
        <v>260</v>
      </c>
      <c r="L186" s="484"/>
      <c r="M186" s="485"/>
      <c r="N186" s="101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spans="1:26" s="116" customFormat="1" ht="8.4499999999999993" customHeight="1" x14ac:dyDescent="0.25">
      <c r="A187" s="373" t="s">
        <v>34</v>
      </c>
      <c r="B187" s="374">
        <v>2</v>
      </c>
      <c r="C187" s="346">
        <v>3</v>
      </c>
      <c r="D187" s="348"/>
      <c r="E187" s="375">
        <v>4</v>
      </c>
      <c r="F187" s="375"/>
      <c r="G187" s="375"/>
      <c r="H187" s="376">
        <v>5</v>
      </c>
      <c r="I187" s="377"/>
      <c r="J187" s="378"/>
      <c r="K187" s="376">
        <v>6</v>
      </c>
      <c r="L187" s="377"/>
      <c r="M187" s="378"/>
      <c r="N187" s="114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s="116" customFormat="1" ht="13.15" customHeight="1" x14ac:dyDescent="0.25">
      <c r="A188" s="424" t="s">
        <v>34</v>
      </c>
      <c r="B188" s="350" t="s">
        <v>101</v>
      </c>
      <c r="C188" s="351">
        <v>28</v>
      </c>
      <c r="D188" s="353"/>
      <c r="E188" s="382">
        <f>7175941.67+41503-1500000</f>
        <v>5717444.6699999999</v>
      </c>
      <c r="F188" s="431"/>
      <c r="G188" s="432"/>
      <c r="H188" s="382">
        <v>3197674.26</v>
      </c>
      <c r="I188" s="431"/>
      <c r="J188" s="412"/>
      <c r="K188" s="382">
        <f>E188</f>
        <v>5717444.6699999999</v>
      </c>
      <c r="L188" s="431"/>
      <c r="M188" s="412"/>
      <c r="N188" s="121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s="116" customFormat="1" ht="12.75" x14ac:dyDescent="0.25">
      <c r="A189" s="424" t="s">
        <v>19</v>
      </c>
      <c r="B189" s="430" t="s">
        <v>99</v>
      </c>
      <c r="C189" s="351">
        <v>28</v>
      </c>
      <c r="D189" s="356"/>
      <c r="E189" s="382">
        <f>1944680.19+2116.63</f>
        <v>1946796.82</v>
      </c>
      <c r="F189" s="431"/>
      <c r="G189" s="412"/>
      <c r="H189" s="382">
        <v>866569.53</v>
      </c>
      <c r="I189" s="431"/>
      <c r="J189" s="412"/>
      <c r="K189" s="382">
        <f t="shared" ref="K189:K190" si="19">E189</f>
        <v>1946796.82</v>
      </c>
      <c r="L189" s="431"/>
      <c r="M189" s="412"/>
      <c r="N189" s="121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s="116" customFormat="1" ht="12.75" x14ac:dyDescent="0.25">
      <c r="A190" s="424" t="s">
        <v>25</v>
      </c>
      <c r="B190" s="430" t="s">
        <v>310</v>
      </c>
      <c r="C190" s="351">
        <v>1</v>
      </c>
      <c r="D190" s="356"/>
      <c r="E190" s="351">
        <v>500</v>
      </c>
      <c r="F190" s="355"/>
      <c r="G190" s="356"/>
      <c r="H190" s="382">
        <v>250</v>
      </c>
      <c r="I190" s="431"/>
      <c r="J190" s="412"/>
      <c r="K190" s="382">
        <f t="shared" si="19"/>
        <v>500</v>
      </c>
      <c r="L190" s="431"/>
      <c r="M190" s="412"/>
      <c r="N190" s="114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s="116" customFormat="1" x14ac:dyDescent="0.25">
      <c r="A191" s="424" t="s">
        <v>63</v>
      </c>
      <c r="B191" s="430" t="s">
        <v>157</v>
      </c>
      <c r="C191" s="351">
        <v>30</v>
      </c>
      <c r="D191" s="356"/>
      <c r="E191" s="351">
        <f>1800000-119299.2</f>
        <v>1680700.8</v>
      </c>
      <c r="F191" s="355"/>
      <c r="G191" s="356"/>
      <c r="H191" s="351">
        <v>570000</v>
      </c>
      <c r="I191" s="486"/>
      <c r="J191" s="487"/>
      <c r="K191" s="382">
        <f t="shared" ref="K191" si="20">E191</f>
        <v>1680700.8</v>
      </c>
      <c r="L191" s="431"/>
      <c r="M191" s="412"/>
      <c r="N191" s="114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165" customFormat="1" ht="43.15" customHeight="1" x14ac:dyDescent="0.25">
      <c r="A192" s="424" t="s">
        <v>64</v>
      </c>
      <c r="B192" s="350" t="s">
        <v>166</v>
      </c>
      <c r="C192" s="351">
        <v>1</v>
      </c>
      <c r="D192" s="356"/>
      <c r="E192" s="351">
        <f>550000+18721-110000-58721</f>
        <v>400000</v>
      </c>
      <c r="F192" s="355"/>
      <c r="G192" s="356"/>
      <c r="H192" s="351">
        <f>907+142304.6</f>
        <v>143211.6</v>
      </c>
      <c r="I192" s="464"/>
      <c r="J192" s="465"/>
      <c r="K192" s="382">
        <f t="shared" ref="K192" si="21">E192</f>
        <v>400000</v>
      </c>
      <c r="L192" s="431"/>
      <c r="M192" s="412"/>
      <c r="N192" s="162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</row>
    <row r="193" spans="1:26" s="116" customFormat="1" ht="13.9" customHeight="1" x14ac:dyDescent="0.25">
      <c r="A193" s="424" t="s">
        <v>65</v>
      </c>
      <c r="B193" s="350" t="s">
        <v>227</v>
      </c>
      <c r="C193" s="351">
        <v>1</v>
      </c>
      <c r="D193" s="356"/>
      <c r="E193" s="351">
        <f>50000+82000+250000</f>
        <v>382000</v>
      </c>
      <c r="F193" s="355"/>
      <c r="G193" s="356"/>
      <c r="H193" s="351">
        <v>0</v>
      </c>
      <c r="I193" s="464"/>
      <c r="J193" s="465"/>
      <c r="K193" s="382">
        <f t="shared" ref="K193" si="22">E193</f>
        <v>382000</v>
      </c>
      <c r="L193" s="431"/>
      <c r="M193" s="412"/>
      <c r="N193" s="114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s="116" customFormat="1" ht="13.9" customHeight="1" x14ac:dyDescent="0.25">
      <c r="A194" s="424" t="s">
        <v>66</v>
      </c>
      <c r="B194" s="350" t="s">
        <v>230</v>
      </c>
      <c r="C194" s="351">
        <v>1</v>
      </c>
      <c r="D194" s="356"/>
      <c r="E194" s="351">
        <f>60000+69000</f>
        <v>129000</v>
      </c>
      <c r="F194" s="355"/>
      <c r="G194" s="356"/>
      <c r="H194" s="351">
        <v>0</v>
      </c>
      <c r="I194" s="464"/>
      <c r="J194" s="465"/>
      <c r="K194" s="382">
        <f t="shared" ref="K194" si="23">E194</f>
        <v>129000</v>
      </c>
      <c r="L194" s="431"/>
      <c r="M194" s="412"/>
      <c r="N194" s="114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s="116" customFormat="1" ht="41.25" customHeight="1" x14ac:dyDescent="0.25">
      <c r="A195" s="424" t="s">
        <v>67</v>
      </c>
      <c r="B195" s="350" t="s">
        <v>229</v>
      </c>
      <c r="C195" s="351">
        <v>1</v>
      </c>
      <c r="D195" s="356"/>
      <c r="E195" s="351">
        <f>300000+100000</f>
        <v>400000</v>
      </c>
      <c r="F195" s="355"/>
      <c r="G195" s="356"/>
      <c r="H195" s="351">
        <f>253781.55</f>
        <v>253781.55</v>
      </c>
      <c r="I195" s="355"/>
      <c r="J195" s="356"/>
      <c r="K195" s="382">
        <f t="shared" ref="K195" si="24">E195</f>
        <v>400000</v>
      </c>
      <c r="L195" s="431"/>
      <c r="M195" s="412"/>
      <c r="N195" s="114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s="116" customFormat="1" ht="25.5" x14ac:dyDescent="0.25">
      <c r="A196" s="424" t="s">
        <v>68</v>
      </c>
      <c r="B196" s="350" t="s">
        <v>293</v>
      </c>
      <c r="C196" s="351">
        <v>30</v>
      </c>
      <c r="D196" s="356"/>
      <c r="E196" s="351">
        <f>300000+1000000-305000</f>
        <v>995000</v>
      </c>
      <c r="F196" s="355"/>
      <c r="G196" s="356"/>
      <c r="H196" s="351">
        <v>271000</v>
      </c>
      <c r="I196" s="464"/>
      <c r="J196" s="465"/>
      <c r="K196" s="382">
        <f t="shared" ref="K196" si="25">E196</f>
        <v>995000</v>
      </c>
      <c r="L196" s="431"/>
      <c r="M196" s="412"/>
      <c r="N196" s="114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s="116" customFormat="1" x14ac:dyDescent="0.25">
      <c r="A197" s="424" t="s">
        <v>69</v>
      </c>
      <c r="B197" s="350" t="s">
        <v>327</v>
      </c>
      <c r="C197" s="351">
        <v>1</v>
      </c>
      <c r="D197" s="356"/>
      <c r="E197" s="351">
        <v>200000</v>
      </c>
      <c r="F197" s="355"/>
      <c r="G197" s="356"/>
      <c r="H197" s="351"/>
      <c r="I197" s="464"/>
      <c r="J197" s="465"/>
      <c r="K197" s="382">
        <f>E197</f>
        <v>200000</v>
      </c>
      <c r="L197" s="431"/>
      <c r="M197" s="412"/>
      <c r="N197" s="114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s="116" customFormat="1" x14ac:dyDescent="0.25">
      <c r="A198" s="424" t="s">
        <v>70</v>
      </c>
      <c r="B198" s="350" t="s">
        <v>294</v>
      </c>
      <c r="C198" s="351">
        <v>1</v>
      </c>
      <c r="D198" s="356"/>
      <c r="E198" s="351">
        <v>5000</v>
      </c>
      <c r="F198" s="355"/>
      <c r="G198" s="356"/>
      <c r="H198" s="351">
        <v>0</v>
      </c>
      <c r="I198" s="464"/>
      <c r="J198" s="465"/>
      <c r="K198" s="382">
        <f>E198</f>
        <v>5000</v>
      </c>
      <c r="L198" s="431"/>
      <c r="M198" s="412"/>
      <c r="N198" s="114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s="116" customFormat="1" ht="25.5" x14ac:dyDescent="0.25">
      <c r="A199" s="424" t="s">
        <v>77</v>
      </c>
      <c r="B199" s="350" t="s">
        <v>329</v>
      </c>
      <c r="C199" s="351">
        <v>1</v>
      </c>
      <c r="D199" s="356"/>
      <c r="E199" s="351">
        <v>168000</v>
      </c>
      <c r="F199" s="355"/>
      <c r="G199" s="356"/>
      <c r="H199" s="351">
        <v>0</v>
      </c>
      <c r="I199" s="464"/>
      <c r="J199" s="465"/>
      <c r="K199" s="382">
        <f>E199</f>
        <v>168000</v>
      </c>
      <c r="L199" s="431"/>
      <c r="M199" s="412"/>
      <c r="N199" s="114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s="116" customFormat="1" x14ac:dyDescent="0.25">
      <c r="A200" s="424" t="s">
        <v>162</v>
      </c>
      <c r="B200" s="350" t="s">
        <v>328</v>
      </c>
      <c r="C200" s="351">
        <v>1</v>
      </c>
      <c r="D200" s="356"/>
      <c r="E200" s="351">
        <v>5000</v>
      </c>
      <c r="F200" s="355"/>
      <c r="G200" s="356"/>
      <c r="H200" s="351">
        <v>0</v>
      </c>
      <c r="I200" s="464"/>
      <c r="J200" s="465"/>
      <c r="K200" s="382">
        <f t="shared" ref="K200" si="26">E200</f>
        <v>5000</v>
      </c>
      <c r="L200" s="431"/>
      <c r="M200" s="412"/>
      <c r="N200" s="114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s="116" customFormat="1" ht="25.5" x14ac:dyDescent="0.25">
      <c r="A201" s="424" t="s">
        <v>297</v>
      </c>
      <c r="B201" s="350" t="s">
        <v>295</v>
      </c>
      <c r="C201" s="351">
        <v>1</v>
      </c>
      <c r="D201" s="356"/>
      <c r="E201" s="351">
        <v>37000</v>
      </c>
      <c r="F201" s="355"/>
      <c r="G201" s="356"/>
      <c r="H201" s="351">
        <v>33816</v>
      </c>
      <c r="I201" s="464"/>
      <c r="J201" s="465"/>
      <c r="K201" s="382">
        <f t="shared" ref="K201" si="27">E201</f>
        <v>37000</v>
      </c>
      <c r="L201" s="431"/>
      <c r="M201" s="412"/>
      <c r="N201" s="114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s="116" customFormat="1" ht="25.5" x14ac:dyDescent="0.25">
      <c r="A202" s="424" t="s">
        <v>231</v>
      </c>
      <c r="B202" s="350" t="s">
        <v>290</v>
      </c>
      <c r="C202" s="351">
        <v>1</v>
      </c>
      <c r="D202" s="356"/>
      <c r="E202" s="351">
        <v>200000</v>
      </c>
      <c r="F202" s="355"/>
      <c r="G202" s="356"/>
      <c r="H202" s="351">
        <v>0</v>
      </c>
      <c r="I202" s="464"/>
      <c r="J202" s="465"/>
      <c r="K202" s="382">
        <f t="shared" ref="K202" si="28">E202</f>
        <v>200000</v>
      </c>
      <c r="L202" s="431"/>
      <c r="M202" s="412"/>
      <c r="N202" s="114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s="116" customFormat="1" ht="25.5" x14ac:dyDescent="0.25">
      <c r="A203" s="424" t="s">
        <v>232</v>
      </c>
      <c r="B203" s="350" t="s">
        <v>330</v>
      </c>
      <c r="C203" s="351">
        <v>1</v>
      </c>
      <c r="D203" s="465"/>
      <c r="E203" s="351">
        <v>80000</v>
      </c>
      <c r="F203" s="464"/>
      <c r="G203" s="465"/>
      <c r="H203" s="351">
        <v>0</v>
      </c>
      <c r="I203" s="464"/>
      <c r="J203" s="465"/>
      <c r="K203" s="382">
        <f t="shared" ref="K203" si="29">E203</f>
        <v>80000</v>
      </c>
      <c r="L203" s="466"/>
      <c r="M203" s="488"/>
      <c r="N203" s="114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s="116" customFormat="1" x14ac:dyDescent="0.25">
      <c r="A204" s="424" t="s">
        <v>233</v>
      </c>
      <c r="B204" s="350" t="s">
        <v>331</v>
      </c>
      <c r="C204" s="351">
        <v>1</v>
      </c>
      <c r="D204" s="465"/>
      <c r="E204" s="351">
        <v>21200</v>
      </c>
      <c r="F204" s="464"/>
      <c r="G204" s="465"/>
      <c r="H204" s="351">
        <v>0</v>
      </c>
      <c r="I204" s="464"/>
      <c r="J204" s="465"/>
      <c r="K204" s="382">
        <f t="shared" ref="K204" si="30">E204</f>
        <v>21200</v>
      </c>
      <c r="L204" s="466"/>
      <c r="M204" s="488"/>
      <c r="N204" s="114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s="116" customFormat="1" ht="15" customHeight="1" x14ac:dyDescent="0.25">
      <c r="A205" s="424" t="s">
        <v>308</v>
      </c>
      <c r="B205" s="350" t="s">
        <v>343</v>
      </c>
      <c r="C205" s="351">
        <v>1</v>
      </c>
      <c r="D205" s="356"/>
      <c r="E205" s="351">
        <v>41760</v>
      </c>
      <c r="F205" s="355"/>
      <c r="G205" s="356"/>
      <c r="H205" s="351">
        <v>0</v>
      </c>
      <c r="I205" s="355"/>
      <c r="J205" s="356"/>
      <c r="K205" s="382">
        <f>E205</f>
        <v>41760</v>
      </c>
      <c r="L205" s="431"/>
      <c r="M205" s="412"/>
      <c r="N205" s="114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s="116" customFormat="1" ht="15" customHeight="1" x14ac:dyDescent="0.25">
      <c r="A206" s="424" t="s">
        <v>309</v>
      </c>
      <c r="B206" s="350" t="s">
        <v>110</v>
      </c>
      <c r="C206" s="351">
        <v>12</v>
      </c>
      <c r="D206" s="356"/>
      <c r="E206" s="351">
        <v>30981.599999999999</v>
      </c>
      <c r="F206" s="355"/>
      <c r="G206" s="356"/>
      <c r="H206" s="351">
        <v>585.86</v>
      </c>
      <c r="I206" s="355"/>
      <c r="J206" s="356"/>
      <c r="K206" s="382">
        <f>E206</f>
        <v>30981.599999999999</v>
      </c>
      <c r="L206" s="431"/>
      <c r="M206" s="412"/>
      <c r="N206" s="114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s="116" customFormat="1" ht="15" customHeight="1" x14ac:dyDescent="0.25">
      <c r="A207" s="424" t="s">
        <v>340</v>
      </c>
      <c r="B207" s="350" t="s">
        <v>344</v>
      </c>
      <c r="C207" s="351">
        <v>1</v>
      </c>
      <c r="D207" s="356"/>
      <c r="E207" s="351">
        <v>111350</v>
      </c>
      <c r="F207" s="355"/>
      <c r="G207" s="356"/>
      <c r="H207" s="351">
        <v>0</v>
      </c>
      <c r="I207" s="355"/>
      <c r="J207" s="356"/>
      <c r="K207" s="382">
        <f>E207</f>
        <v>111350</v>
      </c>
      <c r="L207" s="431"/>
      <c r="M207" s="412"/>
      <c r="N207" s="114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s="116" customFormat="1" ht="15" customHeight="1" x14ac:dyDescent="0.25">
      <c r="A208" s="424" t="s">
        <v>341</v>
      </c>
      <c r="B208" s="350" t="s">
        <v>369</v>
      </c>
      <c r="C208" s="351">
        <v>1</v>
      </c>
      <c r="D208" s="356"/>
      <c r="E208" s="351">
        <v>119299.2</v>
      </c>
      <c r="F208" s="355"/>
      <c r="G208" s="356"/>
      <c r="H208" s="351">
        <v>0</v>
      </c>
      <c r="I208" s="355"/>
      <c r="J208" s="356"/>
      <c r="K208" s="382">
        <f>E208</f>
        <v>119299.2</v>
      </c>
      <c r="L208" s="431"/>
      <c r="M208" s="412"/>
      <c r="N208" s="114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s="116" customFormat="1" ht="38.25" x14ac:dyDescent="0.25">
      <c r="A209" s="424" t="s">
        <v>342</v>
      </c>
      <c r="B209" s="350" t="s">
        <v>364</v>
      </c>
      <c r="C209" s="351">
        <v>1</v>
      </c>
      <c r="D209" s="356"/>
      <c r="E209" s="351">
        <v>16101</v>
      </c>
      <c r="F209" s="355"/>
      <c r="G209" s="356"/>
      <c r="H209" s="351">
        <v>0</v>
      </c>
      <c r="I209" s="355"/>
      <c r="J209" s="356"/>
      <c r="K209" s="382">
        <f>E209</f>
        <v>16101</v>
      </c>
      <c r="L209" s="431"/>
      <c r="M209" s="412"/>
      <c r="N209" s="114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s="116" customFormat="1" x14ac:dyDescent="0.25">
      <c r="A210" s="424" t="s">
        <v>347</v>
      </c>
      <c r="B210" s="350" t="s">
        <v>161</v>
      </c>
      <c r="C210" s="425">
        <v>0</v>
      </c>
      <c r="D210" s="489"/>
      <c r="E210" s="425">
        <v>0</v>
      </c>
      <c r="F210" s="425"/>
      <c r="G210" s="489"/>
      <c r="H210" s="425">
        <f>208790</f>
        <v>208790</v>
      </c>
      <c r="I210" s="490"/>
      <c r="J210" s="490"/>
      <c r="K210" s="381">
        <v>0</v>
      </c>
      <c r="L210" s="491"/>
      <c r="M210" s="491"/>
      <c r="N210" s="114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s="165" customFormat="1" ht="15.75" x14ac:dyDescent="0.25">
      <c r="A211" s="424"/>
      <c r="B211" s="350" t="s">
        <v>159</v>
      </c>
      <c r="C211" s="492" t="s">
        <v>13</v>
      </c>
      <c r="D211" s="493"/>
      <c r="E211" s="357">
        <f>SUM(E188:G210)</f>
        <v>12687134.09</v>
      </c>
      <c r="F211" s="494"/>
      <c r="G211" s="495"/>
      <c r="H211" s="357">
        <f>SUM(H188:J210)</f>
        <v>5545678.7999999998</v>
      </c>
      <c r="I211" s="496"/>
      <c r="J211" s="495"/>
      <c r="K211" s="389">
        <f>SUM(K188:M210)</f>
        <v>12687134.09</v>
      </c>
      <c r="L211" s="497"/>
      <c r="M211" s="498"/>
      <c r="N211" s="162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</row>
    <row r="212" spans="1:26" s="116" customFormat="1" x14ac:dyDescent="0.25">
      <c r="A212" s="499"/>
      <c r="B212" s="500"/>
      <c r="C212" s="501"/>
      <c r="D212" s="502"/>
      <c r="E212" s="429"/>
      <c r="F212" s="429"/>
      <c r="G212" s="502"/>
      <c r="H212" s="429"/>
      <c r="I212" s="503"/>
      <c r="J212" s="503"/>
      <c r="K212" s="504"/>
      <c r="L212" s="505"/>
      <c r="M212" s="505"/>
      <c r="N212" s="114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s="103" customFormat="1" ht="22.9" customHeight="1" x14ac:dyDescent="0.25">
      <c r="A213" s="367" t="s">
        <v>210</v>
      </c>
      <c r="B213" s="367"/>
      <c r="C213" s="367"/>
      <c r="D213" s="367"/>
      <c r="E213" s="367"/>
      <c r="F213" s="367"/>
      <c r="G213" s="367"/>
      <c r="H213" s="367"/>
      <c r="I213" s="367"/>
      <c r="J213" s="367"/>
      <c r="K213" s="367"/>
      <c r="L213" s="367"/>
      <c r="M213" s="367"/>
      <c r="N213" s="101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</row>
    <row r="214" spans="1:26" s="103" customFormat="1" ht="16.149999999999999" customHeight="1" x14ac:dyDescent="0.25">
      <c r="A214" s="330"/>
      <c r="B214" s="331"/>
      <c r="C214" s="331"/>
      <c r="D214" s="331"/>
      <c r="E214" s="331"/>
      <c r="F214" s="331"/>
      <c r="G214" s="331"/>
      <c r="H214" s="331"/>
      <c r="I214" s="331"/>
      <c r="J214" s="331"/>
      <c r="K214" s="331"/>
      <c r="L214" s="331"/>
      <c r="M214" s="331"/>
      <c r="N214" s="101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</row>
    <row r="215" spans="1:26" s="103" customFormat="1" ht="14.25" customHeight="1" x14ac:dyDescent="0.25">
      <c r="A215" s="471" t="s">
        <v>0</v>
      </c>
      <c r="B215" s="334" t="s">
        <v>31</v>
      </c>
      <c r="C215" s="334" t="s">
        <v>57</v>
      </c>
      <c r="D215" s="334" t="s">
        <v>58</v>
      </c>
      <c r="E215" s="335" t="s">
        <v>38</v>
      </c>
      <c r="F215" s="369"/>
      <c r="G215" s="336"/>
      <c r="H215" s="337" t="s">
        <v>118</v>
      </c>
      <c r="I215" s="338"/>
      <c r="J215" s="338"/>
      <c r="K215" s="338"/>
      <c r="L215" s="338"/>
      <c r="M215" s="338"/>
      <c r="N215" s="101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</row>
    <row r="216" spans="1:26" s="103" customFormat="1" ht="43.5" customHeight="1" x14ac:dyDescent="0.25">
      <c r="A216" s="479"/>
      <c r="B216" s="340"/>
      <c r="C216" s="340"/>
      <c r="D216" s="340"/>
      <c r="E216" s="370"/>
      <c r="F216" s="371"/>
      <c r="G216" s="372"/>
      <c r="H216" s="322" t="s">
        <v>273</v>
      </c>
      <c r="I216" s="343"/>
      <c r="J216" s="344"/>
      <c r="K216" s="322" t="s">
        <v>256</v>
      </c>
      <c r="L216" s="343"/>
      <c r="M216" s="344"/>
      <c r="N216" s="101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</row>
    <row r="217" spans="1:26" s="106" customFormat="1" ht="11.25" x14ac:dyDescent="0.2">
      <c r="A217" s="373" t="s">
        <v>34</v>
      </c>
      <c r="B217" s="374">
        <v>2</v>
      </c>
      <c r="C217" s="374">
        <v>3</v>
      </c>
      <c r="D217" s="374">
        <v>4</v>
      </c>
      <c r="E217" s="375">
        <v>5</v>
      </c>
      <c r="F217" s="375"/>
      <c r="G217" s="375"/>
      <c r="H217" s="376">
        <v>6</v>
      </c>
      <c r="I217" s="377"/>
      <c r="J217" s="378"/>
      <c r="K217" s="376">
        <v>7</v>
      </c>
      <c r="L217" s="377"/>
      <c r="M217" s="378"/>
      <c r="N217" s="104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s="103" customFormat="1" x14ac:dyDescent="0.25">
      <c r="A218" s="424" t="s">
        <v>34</v>
      </c>
      <c r="B218" s="460" t="s">
        <v>161</v>
      </c>
      <c r="C218" s="506"/>
      <c r="D218" s="507"/>
      <c r="E218" s="381">
        <v>0</v>
      </c>
      <c r="F218" s="381"/>
      <c r="G218" s="381"/>
      <c r="H218" s="508">
        <v>0</v>
      </c>
      <c r="I218" s="509"/>
      <c r="J218" s="510"/>
      <c r="K218" s="511">
        <f>E218</f>
        <v>0</v>
      </c>
      <c r="L218" s="440"/>
      <c r="M218" s="432"/>
      <c r="N218" s="101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103" customFormat="1" x14ac:dyDescent="0.25">
      <c r="A219" s="385" t="s">
        <v>12</v>
      </c>
      <c r="B219" s="386"/>
      <c r="C219" s="387" t="s">
        <v>13</v>
      </c>
      <c r="D219" s="387" t="s">
        <v>13</v>
      </c>
      <c r="E219" s="388">
        <f>SUM(E218:E218)</f>
        <v>0</v>
      </c>
      <c r="F219" s="388"/>
      <c r="G219" s="388"/>
      <c r="H219" s="389">
        <f>SUM(H218)</f>
        <v>0</v>
      </c>
      <c r="I219" s="440"/>
      <c r="J219" s="432"/>
      <c r="K219" s="389">
        <f>SUM(K218:M218)</f>
        <v>0</v>
      </c>
      <c r="L219" s="440"/>
      <c r="M219" s="432"/>
      <c r="N219" s="101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</row>
    <row r="220" spans="1:26" s="103" customFormat="1" x14ac:dyDescent="0.25">
      <c r="A220" s="448"/>
      <c r="B220" s="427"/>
      <c r="C220" s="428"/>
      <c r="D220" s="428"/>
      <c r="E220" s="449"/>
      <c r="F220" s="449"/>
      <c r="G220" s="449"/>
      <c r="H220" s="449"/>
      <c r="I220" s="504"/>
      <c r="J220" s="504"/>
      <c r="K220" s="449"/>
      <c r="L220" s="504"/>
      <c r="M220" s="504"/>
      <c r="N220" s="101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125" customFormat="1" ht="14.45" customHeight="1" x14ac:dyDescent="0.25">
      <c r="A221" s="512" t="s">
        <v>367</v>
      </c>
      <c r="B221" s="512"/>
      <c r="C221" s="512"/>
      <c r="D221" s="512"/>
      <c r="E221" s="512"/>
      <c r="F221" s="512"/>
      <c r="G221" s="512"/>
      <c r="H221" s="512"/>
      <c r="I221" s="512"/>
      <c r="J221" s="512"/>
      <c r="K221" s="512"/>
      <c r="L221" s="512"/>
      <c r="M221" s="513"/>
      <c r="N221" s="124"/>
      <c r="O221" s="124"/>
      <c r="P221" s="124"/>
      <c r="Q221" s="124"/>
      <c r="R221" s="124"/>
      <c r="S221" s="124"/>
    </row>
    <row r="222" spans="1:26" s="125" customFormat="1" ht="14.45" customHeight="1" x14ac:dyDescent="0.25">
      <c r="A222" s="514"/>
      <c r="B222" s="514"/>
      <c r="C222" s="514"/>
      <c r="D222" s="514"/>
      <c r="E222" s="514"/>
      <c r="F222" s="514"/>
      <c r="G222" s="514"/>
      <c r="H222" s="514"/>
      <c r="I222" s="514"/>
      <c r="J222" s="514"/>
      <c r="K222" s="514"/>
      <c r="L222" s="514"/>
      <c r="M222" s="513"/>
      <c r="N222" s="124"/>
      <c r="O222" s="124"/>
      <c r="P222" s="124"/>
      <c r="Q222" s="124"/>
      <c r="R222" s="124"/>
      <c r="S222" s="124"/>
    </row>
    <row r="223" spans="1:26" s="125" customFormat="1" ht="14.25" customHeight="1" x14ac:dyDescent="0.25">
      <c r="A223" s="515" t="s">
        <v>0</v>
      </c>
      <c r="B223" s="515" t="s">
        <v>6</v>
      </c>
      <c r="C223" s="515" t="s">
        <v>54</v>
      </c>
      <c r="D223" s="515"/>
      <c r="E223" s="515" t="s">
        <v>55</v>
      </c>
      <c r="F223" s="515"/>
      <c r="G223" s="516" t="s">
        <v>118</v>
      </c>
      <c r="H223" s="516"/>
      <c r="I223" s="516"/>
      <c r="J223" s="516"/>
      <c r="K223" s="516"/>
      <c r="L223" s="516"/>
      <c r="M223" s="513"/>
      <c r="N223" s="124"/>
      <c r="O223" s="124"/>
      <c r="P223" s="124"/>
      <c r="Q223" s="124"/>
      <c r="R223" s="124"/>
      <c r="S223" s="124"/>
    </row>
    <row r="224" spans="1:26" s="125" customFormat="1" ht="31.5" customHeight="1" x14ac:dyDescent="0.25">
      <c r="A224" s="515"/>
      <c r="B224" s="515"/>
      <c r="C224" s="515"/>
      <c r="D224" s="515"/>
      <c r="E224" s="515"/>
      <c r="F224" s="515"/>
      <c r="G224" s="516" t="s">
        <v>259</v>
      </c>
      <c r="H224" s="516"/>
      <c r="I224" s="516"/>
      <c r="J224" s="516" t="s">
        <v>260</v>
      </c>
      <c r="K224" s="516"/>
      <c r="L224" s="516"/>
      <c r="M224" s="513"/>
      <c r="N224" s="124"/>
      <c r="O224" s="124"/>
      <c r="P224" s="124"/>
      <c r="Q224" s="124"/>
      <c r="R224" s="124"/>
      <c r="S224" s="124"/>
    </row>
    <row r="225" spans="1:26" s="127" customFormat="1" ht="11.25" customHeight="1" x14ac:dyDescent="0.25">
      <c r="A225" s="517" t="s">
        <v>34</v>
      </c>
      <c r="B225" s="518">
        <v>2</v>
      </c>
      <c r="C225" s="519">
        <v>3</v>
      </c>
      <c r="D225" s="519"/>
      <c r="E225" s="520">
        <v>4</v>
      </c>
      <c r="F225" s="520"/>
      <c r="G225" s="520">
        <v>5</v>
      </c>
      <c r="H225" s="520"/>
      <c r="I225" s="520"/>
      <c r="J225" s="520">
        <v>6</v>
      </c>
      <c r="K225" s="520"/>
      <c r="L225" s="520"/>
      <c r="M225" s="521"/>
      <c r="N225" s="126"/>
      <c r="O225" s="126"/>
      <c r="P225" s="126"/>
      <c r="Q225" s="126"/>
      <c r="R225" s="126"/>
      <c r="S225" s="126"/>
    </row>
    <row r="226" spans="1:26" s="127" customFormat="1" ht="60" x14ac:dyDescent="0.25">
      <c r="A226" s="522" t="s">
        <v>34</v>
      </c>
      <c r="B226" s="523" t="s">
        <v>368</v>
      </c>
      <c r="C226" s="524">
        <v>1</v>
      </c>
      <c r="D226" s="525"/>
      <c r="E226" s="526">
        <v>240000</v>
      </c>
      <c r="F226" s="527"/>
      <c r="G226" s="526">
        <v>0</v>
      </c>
      <c r="H226" s="528"/>
      <c r="I226" s="527"/>
      <c r="J226" s="529">
        <f>E226</f>
        <v>240000</v>
      </c>
      <c r="K226" s="529"/>
      <c r="L226" s="529"/>
      <c r="M226" s="521"/>
      <c r="N226" s="126"/>
      <c r="O226" s="126"/>
      <c r="P226" s="126"/>
      <c r="Q226" s="126"/>
      <c r="R226" s="126"/>
      <c r="S226" s="126"/>
    </row>
    <row r="227" spans="1:26" s="125" customFormat="1" ht="15" customHeight="1" x14ac:dyDescent="0.25">
      <c r="A227" s="530" t="s">
        <v>12</v>
      </c>
      <c r="B227" s="530"/>
      <c r="C227" s="531" t="s">
        <v>56</v>
      </c>
      <c r="D227" s="531"/>
      <c r="E227" s="532">
        <f>SUM(E226:F226)</f>
        <v>240000</v>
      </c>
      <c r="F227" s="532"/>
      <c r="G227" s="533">
        <f>SUM(G226:I226)</f>
        <v>0</v>
      </c>
      <c r="H227" s="533"/>
      <c r="I227" s="533"/>
      <c r="J227" s="533">
        <f>E227</f>
        <v>240000</v>
      </c>
      <c r="K227" s="533"/>
      <c r="L227" s="533"/>
      <c r="M227" s="513"/>
      <c r="N227" s="124"/>
      <c r="O227" s="124"/>
      <c r="P227" s="124"/>
      <c r="Q227" s="124"/>
      <c r="R227" s="124"/>
      <c r="S227" s="124"/>
    </row>
    <row r="228" spans="1:26" s="103" customFormat="1" ht="22.5" customHeight="1" x14ac:dyDescent="0.25">
      <c r="A228" s="448"/>
      <c r="B228" s="427"/>
      <c r="C228" s="429"/>
      <c r="D228" s="361"/>
      <c r="E228" s="449"/>
      <c r="F228" s="449"/>
      <c r="G228" s="449"/>
      <c r="H228" s="449"/>
      <c r="I228" s="449"/>
      <c r="J228" s="449"/>
      <c r="K228" s="449"/>
      <c r="L228" s="449"/>
      <c r="M228" s="449"/>
      <c r="N228" s="101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</row>
    <row r="229" spans="1:26" s="103" customFormat="1" ht="15" customHeight="1" x14ac:dyDescent="0.25">
      <c r="A229" s="367" t="s">
        <v>205</v>
      </c>
      <c r="B229" s="367"/>
      <c r="C229" s="367"/>
      <c r="D229" s="367"/>
      <c r="E229" s="367"/>
      <c r="F229" s="367"/>
      <c r="G229" s="367"/>
      <c r="H229" s="367"/>
      <c r="I229" s="367"/>
      <c r="J229" s="367"/>
      <c r="K229" s="367"/>
      <c r="L229" s="367"/>
      <c r="M229" s="367"/>
      <c r="N229" s="101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</row>
    <row r="230" spans="1:26" s="103" customFormat="1" ht="14.25" customHeight="1" x14ac:dyDescent="0.25">
      <c r="A230" s="330"/>
      <c r="B230" s="331"/>
      <c r="C230" s="331"/>
      <c r="D230" s="331"/>
      <c r="E230" s="331"/>
      <c r="F230" s="331"/>
      <c r="G230" s="331"/>
      <c r="H230" s="331"/>
      <c r="I230" s="331"/>
      <c r="J230" s="331"/>
      <c r="K230" s="331"/>
      <c r="L230" s="331"/>
      <c r="M230" s="331"/>
      <c r="N230" s="101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</row>
    <row r="231" spans="1:26" s="103" customFormat="1" ht="15.75" customHeight="1" x14ac:dyDescent="0.25">
      <c r="A231" s="471" t="s">
        <v>0</v>
      </c>
      <c r="B231" s="334" t="s">
        <v>6</v>
      </c>
      <c r="C231" s="334" t="s">
        <v>57</v>
      </c>
      <c r="D231" s="334" t="s">
        <v>58</v>
      </c>
      <c r="E231" s="335" t="s">
        <v>75</v>
      </c>
      <c r="F231" s="369"/>
      <c r="G231" s="336"/>
      <c r="H231" s="337" t="s">
        <v>118</v>
      </c>
      <c r="I231" s="338"/>
      <c r="J231" s="338"/>
      <c r="K231" s="338"/>
      <c r="L231" s="338"/>
      <c r="M231" s="338"/>
      <c r="N231" s="101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</row>
    <row r="232" spans="1:26" s="103" customFormat="1" ht="30" customHeight="1" x14ac:dyDescent="0.25">
      <c r="A232" s="479"/>
      <c r="B232" s="340"/>
      <c r="C232" s="340"/>
      <c r="D232" s="340"/>
      <c r="E232" s="370"/>
      <c r="F232" s="371"/>
      <c r="G232" s="372"/>
      <c r="H232" s="483" t="s">
        <v>255</v>
      </c>
      <c r="I232" s="484"/>
      <c r="J232" s="485"/>
      <c r="K232" s="483" t="s">
        <v>256</v>
      </c>
      <c r="L232" s="484"/>
      <c r="M232" s="485"/>
      <c r="N232" s="101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</row>
    <row r="233" spans="1:26" s="116" customFormat="1" ht="9" customHeight="1" x14ac:dyDescent="0.25">
      <c r="A233" s="373" t="s">
        <v>34</v>
      </c>
      <c r="B233" s="374">
        <v>2</v>
      </c>
      <c r="C233" s="374">
        <v>3</v>
      </c>
      <c r="D233" s="374">
        <v>4</v>
      </c>
      <c r="E233" s="375">
        <v>5</v>
      </c>
      <c r="F233" s="375"/>
      <c r="G233" s="375"/>
      <c r="H233" s="376">
        <v>6</v>
      </c>
      <c r="I233" s="377"/>
      <c r="J233" s="378"/>
      <c r="K233" s="376">
        <v>7</v>
      </c>
      <c r="L233" s="377"/>
      <c r="M233" s="378"/>
      <c r="N233" s="114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s="116" customFormat="1" x14ac:dyDescent="0.25">
      <c r="A234" s="387">
        <v>1</v>
      </c>
      <c r="B234" s="430" t="s">
        <v>234</v>
      </c>
      <c r="C234" s="387">
        <v>10</v>
      </c>
      <c r="D234" s="408">
        <f t="shared" ref="D234:D239" si="31">E234/C234</f>
        <v>102850</v>
      </c>
      <c r="E234" s="351">
        <f>100000+1000000-71500</f>
        <v>1028500</v>
      </c>
      <c r="F234" s="355"/>
      <c r="G234" s="356"/>
      <c r="H234" s="351">
        <v>148213</v>
      </c>
      <c r="I234" s="355"/>
      <c r="J234" s="356"/>
      <c r="K234" s="351">
        <f t="shared" ref="K234" si="32">E234</f>
        <v>1028500</v>
      </c>
      <c r="L234" s="355"/>
      <c r="M234" s="356"/>
      <c r="N234" s="114"/>
      <c r="O234" s="115"/>
      <c r="P234" s="122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s="116" customFormat="1" x14ac:dyDescent="0.25">
      <c r="A235" s="387">
        <v>2</v>
      </c>
      <c r="B235" s="350" t="s">
        <v>235</v>
      </c>
      <c r="C235" s="387">
        <v>10</v>
      </c>
      <c r="D235" s="408">
        <f t="shared" si="31"/>
        <v>40000</v>
      </c>
      <c r="E235" s="351">
        <f>100000+300000</f>
        <v>400000</v>
      </c>
      <c r="F235" s="355"/>
      <c r="G235" s="356"/>
      <c r="H235" s="351">
        <v>168600</v>
      </c>
      <c r="I235" s="355"/>
      <c r="J235" s="356"/>
      <c r="K235" s="351">
        <f t="shared" ref="K235" si="33">E235</f>
        <v>400000</v>
      </c>
      <c r="L235" s="355"/>
      <c r="M235" s="356"/>
      <c r="N235" s="114"/>
      <c r="O235" s="115"/>
      <c r="P235" s="122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s="116" customFormat="1" ht="18.75" customHeight="1" x14ac:dyDescent="0.25">
      <c r="A236" s="387">
        <v>3</v>
      </c>
      <c r="B236" s="350" t="s">
        <v>320</v>
      </c>
      <c r="C236" s="387">
        <v>20</v>
      </c>
      <c r="D236" s="408">
        <f t="shared" si="31"/>
        <v>25000</v>
      </c>
      <c r="E236" s="351">
        <f>100000+400000</f>
        <v>500000</v>
      </c>
      <c r="F236" s="355"/>
      <c r="G236" s="356"/>
      <c r="H236" s="351">
        <v>126146</v>
      </c>
      <c r="I236" s="355"/>
      <c r="J236" s="356"/>
      <c r="K236" s="351">
        <f t="shared" ref="K236" si="34">E236</f>
        <v>500000</v>
      </c>
      <c r="L236" s="355"/>
      <c r="M236" s="356"/>
      <c r="N236" s="114"/>
      <c r="O236" s="115"/>
      <c r="P236" s="122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s="116" customFormat="1" ht="25.5" x14ac:dyDescent="0.25">
      <c r="A237" s="387">
        <v>4</v>
      </c>
      <c r="B237" s="350" t="s">
        <v>236</v>
      </c>
      <c r="C237" s="387">
        <v>30</v>
      </c>
      <c r="D237" s="408">
        <f t="shared" si="31"/>
        <v>16635.849999999999</v>
      </c>
      <c r="E237" s="351">
        <f>299075.36+200000</f>
        <v>499075.36</v>
      </c>
      <c r="F237" s="355"/>
      <c r="G237" s="356"/>
      <c r="H237" s="351">
        <v>79040</v>
      </c>
      <c r="I237" s="355"/>
      <c r="J237" s="356"/>
      <c r="K237" s="351">
        <f t="shared" ref="K237" si="35">E237</f>
        <v>499075.36</v>
      </c>
      <c r="L237" s="355"/>
      <c r="M237" s="356"/>
      <c r="N237" s="114"/>
      <c r="O237" s="115"/>
      <c r="P237" s="122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s="116" customFormat="1" x14ac:dyDescent="0.25">
      <c r="A238" s="387">
        <v>6</v>
      </c>
      <c r="B238" s="350" t="s">
        <v>319</v>
      </c>
      <c r="C238" s="387">
        <v>10</v>
      </c>
      <c r="D238" s="408">
        <f t="shared" si="31"/>
        <v>15043.9</v>
      </c>
      <c r="E238" s="351">
        <v>150439.01</v>
      </c>
      <c r="F238" s="355"/>
      <c r="G238" s="356"/>
      <c r="H238" s="351">
        <v>0</v>
      </c>
      <c r="I238" s="355"/>
      <c r="J238" s="356"/>
      <c r="K238" s="351">
        <f t="shared" ref="K238:K239" si="36">E238</f>
        <v>150439.01</v>
      </c>
      <c r="L238" s="355"/>
      <c r="M238" s="356"/>
      <c r="N238" s="114"/>
      <c r="O238" s="115"/>
      <c r="P238" s="122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s="116" customFormat="1" x14ac:dyDescent="0.25">
      <c r="A239" s="387">
        <v>7</v>
      </c>
      <c r="B239" s="350" t="s">
        <v>321</v>
      </c>
      <c r="C239" s="387">
        <v>10</v>
      </c>
      <c r="D239" s="408">
        <f t="shared" si="31"/>
        <v>5000</v>
      </c>
      <c r="E239" s="351">
        <v>50000</v>
      </c>
      <c r="F239" s="355"/>
      <c r="G239" s="356"/>
      <c r="H239" s="351">
        <v>0</v>
      </c>
      <c r="I239" s="355"/>
      <c r="J239" s="356"/>
      <c r="K239" s="351">
        <f t="shared" si="36"/>
        <v>50000</v>
      </c>
      <c r="L239" s="355"/>
      <c r="M239" s="356"/>
      <c r="N239" s="114"/>
      <c r="O239" s="115"/>
      <c r="P239" s="122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s="116" customFormat="1" x14ac:dyDescent="0.25">
      <c r="A240" s="387">
        <v>8</v>
      </c>
      <c r="B240" s="350" t="s">
        <v>349</v>
      </c>
      <c r="C240" s="387">
        <v>2</v>
      </c>
      <c r="D240" s="408">
        <v>50000</v>
      </c>
      <c r="E240" s="351">
        <f>100000</f>
        <v>100000</v>
      </c>
      <c r="F240" s="464"/>
      <c r="G240" s="465"/>
      <c r="H240" s="351">
        <v>32800</v>
      </c>
      <c r="I240" s="464"/>
      <c r="J240" s="465"/>
      <c r="K240" s="351">
        <f t="shared" ref="K240:K245" si="37">E240</f>
        <v>100000</v>
      </c>
      <c r="L240" s="464"/>
      <c r="M240" s="465"/>
      <c r="N240" s="114"/>
      <c r="O240" s="115"/>
      <c r="P240" s="122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s="165" customFormat="1" x14ac:dyDescent="0.25">
      <c r="A241" s="387">
        <v>9</v>
      </c>
      <c r="B241" s="350" t="s">
        <v>350</v>
      </c>
      <c r="C241" s="387">
        <v>5</v>
      </c>
      <c r="D241" s="408">
        <v>50000</v>
      </c>
      <c r="E241" s="351">
        <f>250000-36000</f>
        <v>214000</v>
      </c>
      <c r="F241" s="464"/>
      <c r="G241" s="465"/>
      <c r="H241" s="351">
        <v>0</v>
      </c>
      <c r="I241" s="464"/>
      <c r="J241" s="465"/>
      <c r="K241" s="351">
        <f t="shared" si="37"/>
        <v>214000</v>
      </c>
      <c r="L241" s="464"/>
      <c r="M241" s="465"/>
      <c r="N241" s="162"/>
      <c r="O241" s="163"/>
      <c r="P241" s="164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</row>
    <row r="242" spans="1:26" s="116" customFormat="1" x14ac:dyDescent="0.25">
      <c r="A242" s="387">
        <v>10</v>
      </c>
      <c r="B242" s="350" t="s">
        <v>360</v>
      </c>
      <c r="C242" s="387">
        <v>15</v>
      </c>
      <c r="D242" s="408">
        <v>2340</v>
      </c>
      <c r="E242" s="351">
        <v>35100</v>
      </c>
      <c r="F242" s="464"/>
      <c r="G242" s="465"/>
      <c r="H242" s="351">
        <v>0</v>
      </c>
      <c r="I242" s="464"/>
      <c r="J242" s="465"/>
      <c r="K242" s="351">
        <f t="shared" si="37"/>
        <v>35100</v>
      </c>
      <c r="L242" s="464"/>
      <c r="M242" s="465"/>
      <c r="N242" s="114"/>
      <c r="O242" s="115"/>
      <c r="P242" s="122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s="116" customFormat="1" x14ac:dyDescent="0.25">
      <c r="A243" s="387">
        <v>11</v>
      </c>
      <c r="B243" s="350" t="s">
        <v>361</v>
      </c>
      <c r="C243" s="387">
        <v>4</v>
      </c>
      <c r="D243" s="408">
        <v>9100</v>
      </c>
      <c r="E243" s="351">
        <v>36400</v>
      </c>
      <c r="F243" s="464"/>
      <c r="G243" s="465"/>
      <c r="H243" s="351">
        <v>0</v>
      </c>
      <c r="I243" s="464"/>
      <c r="J243" s="465"/>
      <c r="K243" s="351">
        <f t="shared" si="37"/>
        <v>36400</v>
      </c>
      <c r="L243" s="464"/>
      <c r="M243" s="465"/>
      <c r="N243" s="114"/>
      <c r="O243" s="115"/>
      <c r="P243" s="122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s="116" customFormat="1" x14ac:dyDescent="0.25">
      <c r="A244" s="387">
        <v>12</v>
      </c>
      <c r="B244" s="350" t="s">
        <v>362</v>
      </c>
      <c r="C244" s="387">
        <v>1</v>
      </c>
      <c r="D244" s="408">
        <v>85000</v>
      </c>
      <c r="E244" s="351">
        <v>85000</v>
      </c>
      <c r="F244" s="464"/>
      <c r="G244" s="465"/>
      <c r="H244" s="351">
        <v>0</v>
      </c>
      <c r="I244" s="464"/>
      <c r="J244" s="465"/>
      <c r="K244" s="351">
        <f t="shared" si="37"/>
        <v>85000</v>
      </c>
      <c r="L244" s="464"/>
      <c r="M244" s="465"/>
      <c r="N244" s="114"/>
      <c r="O244" s="115"/>
      <c r="P244" s="122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s="116" customFormat="1" x14ac:dyDescent="0.25">
      <c r="A245" s="387">
        <v>13</v>
      </c>
      <c r="B245" s="350" t="s">
        <v>363</v>
      </c>
      <c r="C245" s="387">
        <v>1</v>
      </c>
      <c r="D245" s="408">
        <v>220000</v>
      </c>
      <c r="E245" s="351">
        <v>220000</v>
      </c>
      <c r="F245" s="464"/>
      <c r="G245" s="465"/>
      <c r="H245" s="351">
        <v>0</v>
      </c>
      <c r="I245" s="464"/>
      <c r="J245" s="465"/>
      <c r="K245" s="351">
        <f t="shared" si="37"/>
        <v>220000</v>
      </c>
      <c r="L245" s="464"/>
      <c r="M245" s="465"/>
      <c r="N245" s="114"/>
      <c r="O245" s="115"/>
      <c r="P245" s="122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s="103" customFormat="1" x14ac:dyDescent="0.25">
      <c r="A246" s="387">
        <v>14</v>
      </c>
      <c r="B246" s="350" t="s">
        <v>158</v>
      </c>
      <c r="C246" s="387">
        <v>0</v>
      </c>
      <c r="D246" s="408">
        <v>0</v>
      </c>
      <c r="E246" s="351">
        <v>0</v>
      </c>
      <c r="F246" s="355"/>
      <c r="G246" s="356"/>
      <c r="H246" s="351">
        <v>566141</v>
      </c>
      <c r="I246" s="355"/>
      <c r="J246" s="356"/>
      <c r="K246" s="351">
        <v>0</v>
      </c>
      <c r="L246" s="355"/>
      <c r="M246" s="356"/>
      <c r="N246" s="101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</row>
    <row r="247" spans="1:26" s="165" customFormat="1" x14ac:dyDescent="0.25">
      <c r="A247" s="387"/>
      <c r="B247" s="534" t="s">
        <v>12</v>
      </c>
      <c r="C247" s="387"/>
      <c r="D247" s="408"/>
      <c r="E247" s="357">
        <f>SUM(E234:G246)</f>
        <v>3318514.37</v>
      </c>
      <c r="F247" s="494"/>
      <c r="G247" s="535"/>
      <c r="H247" s="357">
        <f>SUM(H234:J246)</f>
        <v>1120940</v>
      </c>
      <c r="I247" s="494"/>
      <c r="J247" s="535"/>
      <c r="K247" s="357">
        <f>SUM(K234:M246)</f>
        <v>3318514.37</v>
      </c>
      <c r="L247" s="494"/>
      <c r="M247" s="535"/>
      <c r="N247" s="162"/>
      <c r="O247" s="163"/>
      <c r="P247" s="164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</row>
    <row r="248" spans="1:26" s="116" customFormat="1" x14ac:dyDescent="0.25">
      <c r="A248" s="387">
        <v>1</v>
      </c>
      <c r="B248" s="430" t="s">
        <v>228</v>
      </c>
      <c r="C248" s="387">
        <v>200</v>
      </c>
      <c r="D248" s="408">
        <f t="shared" ref="D248:D255" si="38">E248/C248</f>
        <v>750</v>
      </c>
      <c r="E248" s="351">
        <v>150000</v>
      </c>
      <c r="F248" s="355"/>
      <c r="G248" s="356"/>
      <c r="H248" s="351">
        <v>0</v>
      </c>
      <c r="I248" s="355"/>
      <c r="J248" s="356"/>
      <c r="K248" s="351">
        <f>E248</f>
        <v>150000</v>
      </c>
      <c r="L248" s="355"/>
      <c r="M248" s="356"/>
      <c r="N248" s="114"/>
      <c r="O248" s="115"/>
      <c r="P248" s="122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s="116" customFormat="1" ht="22.5" customHeight="1" x14ac:dyDescent="0.25">
      <c r="A249" s="387">
        <v>2</v>
      </c>
      <c r="B249" s="350" t="s">
        <v>299</v>
      </c>
      <c r="C249" s="387">
        <v>40</v>
      </c>
      <c r="D249" s="408">
        <f t="shared" si="38"/>
        <v>0</v>
      </c>
      <c r="E249" s="351">
        <f>150000-150000</f>
        <v>0</v>
      </c>
      <c r="F249" s="355"/>
      <c r="G249" s="356"/>
      <c r="H249" s="351">
        <v>95850</v>
      </c>
      <c r="I249" s="355"/>
      <c r="J249" s="356"/>
      <c r="K249" s="351">
        <f>E249</f>
        <v>0</v>
      </c>
      <c r="L249" s="355"/>
      <c r="M249" s="356"/>
      <c r="N249" s="114"/>
      <c r="O249" s="115"/>
      <c r="P249" s="122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s="116" customFormat="1" x14ac:dyDescent="0.25">
      <c r="A250" s="387">
        <v>3</v>
      </c>
      <c r="B250" s="430" t="s">
        <v>112</v>
      </c>
      <c r="C250" s="387">
        <v>200</v>
      </c>
      <c r="D250" s="408">
        <f t="shared" si="38"/>
        <v>477.51</v>
      </c>
      <c r="E250" s="351">
        <v>95501.14</v>
      </c>
      <c r="F250" s="355"/>
      <c r="G250" s="356"/>
      <c r="H250" s="351">
        <v>0</v>
      </c>
      <c r="I250" s="355"/>
      <c r="J250" s="356"/>
      <c r="K250" s="351">
        <f>E250</f>
        <v>95501.14</v>
      </c>
      <c r="L250" s="355"/>
      <c r="M250" s="356"/>
      <c r="N250" s="114"/>
      <c r="O250" s="115"/>
      <c r="P250" s="122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s="116" customFormat="1" x14ac:dyDescent="0.25">
      <c r="A251" s="387">
        <v>4</v>
      </c>
      <c r="B251" s="430" t="s">
        <v>113</v>
      </c>
      <c r="C251" s="387">
        <v>400</v>
      </c>
      <c r="D251" s="408">
        <f t="shared" si="38"/>
        <v>187.4</v>
      </c>
      <c r="E251" s="351">
        <v>74960</v>
      </c>
      <c r="F251" s="355"/>
      <c r="G251" s="356"/>
      <c r="H251" s="351">
        <v>97514</v>
      </c>
      <c r="I251" s="355"/>
      <c r="J251" s="356"/>
      <c r="K251" s="351">
        <f>E251</f>
        <v>74960</v>
      </c>
      <c r="L251" s="355"/>
      <c r="M251" s="356"/>
      <c r="N251" s="114"/>
      <c r="O251" s="115"/>
      <c r="P251" s="122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s="116" customFormat="1" ht="13.5" customHeight="1" x14ac:dyDescent="0.25">
      <c r="A252" s="387">
        <v>5</v>
      </c>
      <c r="B252" s="350" t="s">
        <v>238</v>
      </c>
      <c r="C252" s="387">
        <v>100</v>
      </c>
      <c r="D252" s="408">
        <f t="shared" si="38"/>
        <v>500</v>
      </c>
      <c r="E252" s="351">
        <v>50000</v>
      </c>
      <c r="F252" s="355"/>
      <c r="G252" s="356"/>
      <c r="H252" s="351">
        <v>0</v>
      </c>
      <c r="I252" s="355"/>
      <c r="J252" s="356"/>
      <c r="K252" s="351">
        <f t="shared" ref="K252" si="39">E252</f>
        <v>50000</v>
      </c>
      <c r="L252" s="355"/>
      <c r="M252" s="356"/>
      <c r="N252" s="114"/>
      <c r="O252" s="115"/>
      <c r="P252" s="122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s="116" customFormat="1" ht="25.5" x14ac:dyDescent="0.25">
      <c r="A253" s="387">
        <v>6</v>
      </c>
      <c r="B253" s="350" t="s">
        <v>237</v>
      </c>
      <c r="C253" s="387">
        <v>100</v>
      </c>
      <c r="D253" s="408">
        <f t="shared" si="38"/>
        <v>500</v>
      </c>
      <c r="E253" s="351">
        <v>50000</v>
      </c>
      <c r="F253" s="355"/>
      <c r="G253" s="356"/>
      <c r="H253" s="351">
        <v>0</v>
      </c>
      <c r="I253" s="355"/>
      <c r="J253" s="356"/>
      <c r="K253" s="351">
        <f t="shared" ref="K253" si="40">E253</f>
        <v>50000</v>
      </c>
      <c r="L253" s="355"/>
      <c r="M253" s="356"/>
      <c r="N253" s="114"/>
      <c r="O253" s="115"/>
      <c r="P253" s="122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s="116" customFormat="1" x14ac:dyDescent="0.25">
      <c r="A254" s="387">
        <v>7</v>
      </c>
      <c r="B254" s="350" t="s">
        <v>239</v>
      </c>
      <c r="C254" s="387">
        <v>200</v>
      </c>
      <c r="D254" s="408">
        <f t="shared" si="38"/>
        <v>250</v>
      </c>
      <c r="E254" s="351">
        <v>50000</v>
      </c>
      <c r="F254" s="355"/>
      <c r="G254" s="356"/>
      <c r="H254" s="351">
        <v>0</v>
      </c>
      <c r="I254" s="355"/>
      <c r="J254" s="356"/>
      <c r="K254" s="351">
        <f t="shared" ref="K254" si="41">E254</f>
        <v>50000</v>
      </c>
      <c r="L254" s="355"/>
      <c r="M254" s="356"/>
      <c r="N254" s="114"/>
      <c r="O254" s="115"/>
      <c r="P254" s="122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s="116" customFormat="1" x14ac:dyDescent="0.25">
      <c r="A255" s="387">
        <v>8</v>
      </c>
      <c r="B255" s="430" t="s">
        <v>291</v>
      </c>
      <c r="C255" s="387">
        <v>100</v>
      </c>
      <c r="D255" s="408">
        <f t="shared" si="38"/>
        <v>435</v>
      </c>
      <c r="E255" s="351">
        <v>43500</v>
      </c>
      <c r="F255" s="355"/>
      <c r="G255" s="356"/>
      <c r="H255" s="351">
        <v>0</v>
      </c>
      <c r="I255" s="355"/>
      <c r="J255" s="356"/>
      <c r="K255" s="351">
        <f t="shared" ref="K255" si="42">E255</f>
        <v>43500</v>
      </c>
      <c r="L255" s="355"/>
      <c r="M255" s="356"/>
      <c r="N255" s="114"/>
      <c r="O255" s="115"/>
      <c r="P255" s="122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s="116" customFormat="1" x14ac:dyDescent="0.25">
      <c r="A256" s="387">
        <v>9</v>
      </c>
      <c r="B256" s="430" t="s">
        <v>164</v>
      </c>
      <c r="C256" s="387">
        <v>100</v>
      </c>
      <c r="D256" s="408">
        <f>E256/C256</f>
        <v>3903.05</v>
      </c>
      <c r="E256" s="351">
        <f>100000-9695.18+300000</f>
        <v>390304.82</v>
      </c>
      <c r="F256" s="355"/>
      <c r="G256" s="356"/>
      <c r="H256" s="351">
        <f>369716.81+380</f>
        <v>370096.81</v>
      </c>
      <c r="I256" s="355"/>
      <c r="J256" s="356"/>
      <c r="K256" s="351">
        <f t="shared" ref="K256" si="43">E256</f>
        <v>390304.82</v>
      </c>
      <c r="L256" s="355"/>
      <c r="M256" s="356"/>
      <c r="N256" s="114" t="s">
        <v>353</v>
      </c>
      <c r="O256" s="115"/>
      <c r="P256" s="122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s="116" customFormat="1" x14ac:dyDescent="0.25">
      <c r="A257" s="387">
        <v>10</v>
      </c>
      <c r="B257" s="430" t="s">
        <v>240</v>
      </c>
      <c r="C257" s="387">
        <v>40</v>
      </c>
      <c r="D257" s="408">
        <f>E257/C257</f>
        <v>5000</v>
      </c>
      <c r="E257" s="351">
        <f>130000+70000</f>
        <v>200000</v>
      </c>
      <c r="F257" s="355"/>
      <c r="G257" s="356"/>
      <c r="H257" s="351">
        <f>775+66310</f>
        <v>67085</v>
      </c>
      <c r="I257" s="355"/>
      <c r="J257" s="356"/>
      <c r="K257" s="351">
        <f t="shared" ref="K257" si="44">E257</f>
        <v>200000</v>
      </c>
      <c r="L257" s="355"/>
      <c r="M257" s="356"/>
      <c r="N257" s="114" t="s">
        <v>357</v>
      </c>
      <c r="O257" s="115"/>
      <c r="P257" s="122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s="116" customFormat="1" x14ac:dyDescent="0.25">
      <c r="A258" s="387">
        <v>11</v>
      </c>
      <c r="B258" s="430" t="s">
        <v>296</v>
      </c>
      <c r="C258" s="387">
        <v>50</v>
      </c>
      <c r="D258" s="408">
        <f>E258/C258</f>
        <v>1500</v>
      </c>
      <c r="E258" s="351">
        <f>25000+50000</f>
        <v>75000</v>
      </c>
      <c r="F258" s="355"/>
      <c r="G258" s="356"/>
      <c r="H258" s="351">
        <v>0</v>
      </c>
      <c r="I258" s="355"/>
      <c r="J258" s="356"/>
      <c r="K258" s="351">
        <f t="shared" ref="K258" si="45">E258</f>
        <v>75000</v>
      </c>
      <c r="L258" s="355"/>
      <c r="M258" s="356"/>
      <c r="N258" s="114"/>
      <c r="O258" s="115"/>
      <c r="P258" s="122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s="116" customFormat="1" x14ac:dyDescent="0.25">
      <c r="A259" s="387">
        <v>12</v>
      </c>
      <c r="B259" s="430" t="s">
        <v>318</v>
      </c>
      <c r="C259" s="387">
        <v>10</v>
      </c>
      <c r="D259" s="408">
        <f t="shared" ref="D259:D262" si="46">E259/C259</f>
        <v>2000</v>
      </c>
      <c r="E259" s="351">
        <v>20000</v>
      </c>
      <c r="F259" s="355"/>
      <c r="G259" s="356"/>
      <c r="H259" s="351">
        <v>0</v>
      </c>
      <c r="I259" s="355"/>
      <c r="J259" s="356"/>
      <c r="K259" s="351">
        <f t="shared" ref="K259" si="47">E259</f>
        <v>20000</v>
      </c>
      <c r="L259" s="355"/>
      <c r="M259" s="356"/>
      <c r="N259" s="114" t="s">
        <v>356</v>
      </c>
      <c r="O259" s="115"/>
      <c r="P259" s="122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s="116" customFormat="1" x14ac:dyDescent="0.25">
      <c r="A260" s="387">
        <v>13</v>
      </c>
      <c r="B260" s="350" t="s">
        <v>317</v>
      </c>
      <c r="C260" s="387">
        <v>1000</v>
      </c>
      <c r="D260" s="408">
        <f t="shared" si="46"/>
        <v>50</v>
      </c>
      <c r="E260" s="351">
        <v>50000</v>
      </c>
      <c r="F260" s="355"/>
      <c r="G260" s="356"/>
      <c r="H260" s="351">
        <v>0</v>
      </c>
      <c r="I260" s="355"/>
      <c r="J260" s="356"/>
      <c r="K260" s="351">
        <f t="shared" ref="K260" si="48">E260</f>
        <v>50000</v>
      </c>
      <c r="L260" s="355"/>
      <c r="M260" s="356"/>
      <c r="N260" s="114"/>
      <c r="O260" s="115"/>
      <c r="P260" s="122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s="116" customFormat="1" ht="13.5" customHeight="1" x14ac:dyDescent="0.25">
      <c r="A261" s="387">
        <v>14</v>
      </c>
      <c r="B261" s="350" t="s">
        <v>316</v>
      </c>
      <c r="C261" s="387">
        <v>200</v>
      </c>
      <c r="D261" s="408">
        <f t="shared" si="46"/>
        <v>1397.8</v>
      </c>
      <c r="E261" s="351">
        <v>279560</v>
      </c>
      <c r="F261" s="355"/>
      <c r="G261" s="356"/>
      <c r="H261" s="351">
        <v>0</v>
      </c>
      <c r="I261" s="355"/>
      <c r="J261" s="356"/>
      <c r="K261" s="351">
        <f t="shared" ref="K261" si="49">E261</f>
        <v>279560</v>
      </c>
      <c r="L261" s="355"/>
      <c r="M261" s="356"/>
      <c r="N261" s="114"/>
      <c r="O261" s="115"/>
      <c r="P261" s="122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s="116" customFormat="1" x14ac:dyDescent="0.25">
      <c r="A262" s="387">
        <v>15</v>
      </c>
      <c r="B262" s="350" t="s">
        <v>315</v>
      </c>
      <c r="C262" s="387">
        <v>400</v>
      </c>
      <c r="D262" s="408">
        <f t="shared" si="46"/>
        <v>300</v>
      </c>
      <c r="E262" s="351">
        <f>20000+100000</f>
        <v>120000</v>
      </c>
      <c r="F262" s="355"/>
      <c r="G262" s="356"/>
      <c r="H262" s="351">
        <v>0</v>
      </c>
      <c r="I262" s="355"/>
      <c r="J262" s="356"/>
      <c r="K262" s="351">
        <f t="shared" ref="K262" si="50">E262</f>
        <v>120000</v>
      </c>
      <c r="L262" s="355"/>
      <c r="M262" s="356"/>
      <c r="N262" s="114"/>
      <c r="O262" s="115"/>
      <c r="P262" s="129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</row>
    <row r="263" spans="1:26" s="116" customFormat="1" x14ac:dyDescent="0.25">
      <c r="A263" s="387">
        <v>16</v>
      </c>
      <c r="B263" s="350" t="s">
        <v>345</v>
      </c>
      <c r="C263" s="387">
        <v>30</v>
      </c>
      <c r="D263" s="408">
        <f t="shared" ref="D263:D264" si="51">E263/C263</f>
        <v>2333.33</v>
      </c>
      <c r="E263" s="351">
        <v>70000</v>
      </c>
      <c r="F263" s="355"/>
      <c r="G263" s="356"/>
      <c r="H263" s="351">
        <v>0</v>
      </c>
      <c r="I263" s="355"/>
      <c r="J263" s="356"/>
      <c r="K263" s="351">
        <f t="shared" ref="K263" si="52">E263</f>
        <v>70000</v>
      </c>
      <c r="L263" s="355"/>
      <c r="M263" s="356"/>
      <c r="N263" s="114"/>
      <c r="O263" s="115"/>
      <c r="P263" s="129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</row>
    <row r="264" spans="1:26" s="116" customFormat="1" x14ac:dyDescent="0.25">
      <c r="A264" s="387">
        <v>17</v>
      </c>
      <c r="B264" s="350" t="s">
        <v>346</v>
      </c>
      <c r="C264" s="387">
        <v>300</v>
      </c>
      <c r="D264" s="408">
        <f t="shared" si="51"/>
        <v>1000</v>
      </c>
      <c r="E264" s="351">
        <f>150000+150000</f>
        <v>300000</v>
      </c>
      <c r="F264" s="355"/>
      <c r="G264" s="356"/>
      <c r="H264" s="351">
        <f>217200</f>
        <v>217200</v>
      </c>
      <c r="I264" s="355"/>
      <c r="J264" s="356"/>
      <c r="K264" s="351">
        <f t="shared" ref="K264" si="53">E264</f>
        <v>300000</v>
      </c>
      <c r="L264" s="355"/>
      <c r="M264" s="356"/>
      <c r="N264" s="114"/>
      <c r="O264" s="115"/>
      <c r="P264" s="129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</row>
    <row r="265" spans="1:26" s="116" customFormat="1" x14ac:dyDescent="0.25">
      <c r="A265" s="387">
        <v>18</v>
      </c>
      <c r="B265" s="350" t="s">
        <v>351</v>
      </c>
      <c r="C265" s="387"/>
      <c r="D265" s="408"/>
      <c r="E265" s="351">
        <f>200000</f>
        <v>200000</v>
      </c>
      <c r="F265" s="464"/>
      <c r="G265" s="465"/>
      <c r="H265" s="351">
        <f>45000</f>
        <v>45000</v>
      </c>
      <c r="I265" s="464"/>
      <c r="J265" s="465"/>
      <c r="K265" s="351">
        <f t="shared" ref="K265" si="54">E265</f>
        <v>200000</v>
      </c>
      <c r="L265" s="464"/>
      <c r="M265" s="465"/>
      <c r="N265" s="114" t="s">
        <v>352</v>
      </c>
      <c r="O265" s="115"/>
      <c r="P265" s="129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</row>
    <row r="266" spans="1:26" s="165" customFormat="1" x14ac:dyDescent="0.25">
      <c r="A266" s="387">
        <v>19</v>
      </c>
      <c r="B266" s="350" t="s">
        <v>370</v>
      </c>
      <c r="C266" s="387"/>
      <c r="D266" s="408"/>
      <c r="E266" s="351">
        <f>32887</f>
        <v>32887</v>
      </c>
      <c r="F266" s="464"/>
      <c r="G266" s="465"/>
      <c r="H266" s="351">
        <v>0</v>
      </c>
      <c r="I266" s="464"/>
      <c r="J266" s="465"/>
      <c r="K266" s="351">
        <f t="shared" ref="K266" si="55">E266</f>
        <v>32887</v>
      </c>
      <c r="L266" s="464"/>
      <c r="M266" s="465"/>
      <c r="N266" s="162" t="s">
        <v>371</v>
      </c>
      <c r="O266" s="163"/>
      <c r="P266" s="169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</row>
    <row r="267" spans="1:26" s="165" customFormat="1" ht="25.5" x14ac:dyDescent="0.25">
      <c r="A267" s="387">
        <v>20</v>
      </c>
      <c r="B267" s="350" t="s">
        <v>372</v>
      </c>
      <c r="C267" s="387"/>
      <c r="D267" s="408"/>
      <c r="E267" s="351">
        <f>28000</f>
        <v>28000</v>
      </c>
      <c r="F267" s="464"/>
      <c r="G267" s="465"/>
      <c r="H267" s="351">
        <v>0</v>
      </c>
      <c r="I267" s="464"/>
      <c r="J267" s="465"/>
      <c r="K267" s="351">
        <f t="shared" ref="K267" si="56">E267</f>
        <v>28000</v>
      </c>
      <c r="L267" s="464"/>
      <c r="M267" s="465"/>
      <c r="N267" s="162" t="s">
        <v>371</v>
      </c>
      <c r="O267" s="163"/>
      <c r="P267" s="169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</row>
    <row r="268" spans="1:26" s="165" customFormat="1" x14ac:dyDescent="0.25">
      <c r="A268" s="387">
        <v>21</v>
      </c>
      <c r="B268" s="350" t="s">
        <v>373</v>
      </c>
      <c r="C268" s="387"/>
      <c r="D268" s="408"/>
      <c r="E268" s="351">
        <f>23854</f>
        <v>23854</v>
      </c>
      <c r="F268" s="464"/>
      <c r="G268" s="465"/>
      <c r="H268" s="351">
        <v>0</v>
      </c>
      <c r="I268" s="464"/>
      <c r="J268" s="465"/>
      <c r="K268" s="351">
        <f t="shared" ref="K268" si="57">E268</f>
        <v>23854</v>
      </c>
      <c r="L268" s="464"/>
      <c r="M268" s="465"/>
      <c r="N268" s="162" t="s">
        <v>371</v>
      </c>
      <c r="O268" s="163"/>
      <c r="P268" s="169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</row>
    <row r="269" spans="1:26" s="116" customFormat="1" x14ac:dyDescent="0.25">
      <c r="A269" s="387">
        <v>22</v>
      </c>
      <c r="B269" s="430" t="s">
        <v>298</v>
      </c>
      <c r="C269" s="387"/>
      <c r="D269" s="408"/>
      <c r="E269" s="351">
        <v>0</v>
      </c>
      <c r="F269" s="355"/>
      <c r="G269" s="356"/>
      <c r="H269" s="351">
        <f>134298.95+30350</f>
        <v>164648.95000000001</v>
      </c>
      <c r="I269" s="355"/>
      <c r="J269" s="356"/>
      <c r="K269" s="351">
        <f t="shared" ref="K269" si="58">E269</f>
        <v>0</v>
      </c>
      <c r="L269" s="355"/>
      <c r="M269" s="356"/>
      <c r="N269" s="114"/>
      <c r="O269" s="115"/>
      <c r="P269" s="122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</row>
    <row r="270" spans="1:26" s="168" customFormat="1" x14ac:dyDescent="0.25">
      <c r="A270" s="385" t="s">
        <v>12</v>
      </c>
      <c r="B270" s="386"/>
      <c r="C270" s="387" t="s">
        <v>13</v>
      </c>
      <c r="D270" s="408"/>
      <c r="E270" s="388">
        <f>SUM(E248:G269)</f>
        <v>2303566.96</v>
      </c>
      <c r="F270" s="388"/>
      <c r="G270" s="388"/>
      <c r="H270" s="357">
        <f>SUM(H248:J269)</f>
        <v>1057394.76</v>
      </c>
      <c r="I270" s="494"/>
      <c r="J270" s="535"/>
      <c r="K270" s="357">
        <f>SUM(K248:M269)</f>
        <v>2303566.96</v>
      </c>
      <c r="L270" s="494"/>
      <c r="M270" s="535"/>
      <c r="N270" s="166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</row>
    <row r="271" spans="1:26" s="103" customFormat="1" ht="6" customHeight="1" x14ac:dyDescent="0.25">
      <c r="A271" s="448"/>
      <c r="B271" s="427"/>
      <c r="C271" s="428"/>
      <c r="D271" s="536"/>
      <c r="E271" s="449"/>
      <c r="F271" s="449"/>
      <c r="G271" s="449"/>
      <c r="H271" s="360"/>
      <c r="I271" s="360"/>
      <c r="J271" s="360"/>
      <c r="K271" s="360"/>
      <c r="L271" s="360"/>
      <c r="M271" s="360"/>
      <c r="N271" s="101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</row>
    <row r="272" spans="1:26" s="103" customFormat="1" x14ac:dyDescent="0.25">
      <c r="A272" s="537" t="s">
        <v>242</v>
      </c>
      <c r="B272" s="427"/>
      <c r="C272" s="428"/>
      <c r="D272" s="428"/>
      <c r="E272" s="449"/>
      <c r="F272" s="449"/>
      <c r="G272" s="449"/>
      <c r="H272" s="449"/>
      <c r="I272" s="538"/>
      <c r="J272" s="538"/>
      <c r="K272" s="449"/>
      <c r="L272" s="539"/>
      <c r="M272" s="539"/>
      <c r="N272" s="101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</row>
    <row r="273" spans="1:26" s="103" customFormat="1" ht="6" customHeight="1" x14ac:dyDescent="0.25">
      <c r="A273" s="91"/>
      <c r="B273" s="67"/>
      <c r="C273" s="68"/>
      <c r="D273" s="68"/>
      <c r="E273" s="69"/>
      <c r="F273" s="69"/>
      <c r="G273" s="69"/>
      <c r="H273" s="69"/>
      <c r="I273" s="89"/>
      <c r="J273" s="89"/>
      <c r="K273" s="69"/>
      <c r="L273" s="90"/>
      <c r="M273" s="90"/>
      <c r="N273" s="101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</row>
    <row r="274" spans="1:26" s="103" customFormat="1" ht="14.25" customHeight="1" x14ac:dyDescent="0.25">
      <c r="A274" s="172" t="s">
        <v>245</v>
      </c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01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</row>
    <row r="275" spans="1:26" s="103" customFormat="1" ht="14.25" customHeight="1" x14ac:dyDescent="0.25">
      <c r="A275" s="188" t="s">
        <v>5</v>
      </c>
      <c r="B275" s="188" t="s">
        <v>31</v>
      </c>
      <c r="C275" s="188" t="s">
        <v>45</v>
      </c>
      <c r="D275" s="188" t="s">
        <v>248</v>
      </c>
      <c r="E275" s="180" t="s">
        <v>47</v>
      </c>
      <c r="F275" s="181"/>
      <c r="G275" s="188" t="s">
        <v>9</v>
      </c>
      <c r="H275" s="179" t="s">
        <v>118</v>
      </c>
      <c r="I275" s="228"/>
      <c r="J275" s="228"/>
      <c r="K275" s="228"/>
      <c r="L275" s="228"/>
      <c r="M275" s="228"/>
      <c r="N275" s="101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</row>
    <row r="276" spans="1:26" s="103" customFormat="1" x14ac:dyDescent="0.25">
      <c r="A276" s="191"/>
      <c r="B276" s="191"/>
      <c r="C276" s="191"/>
      <c r="D276" s="191"/>
      <c r="E276" s="298"/>
      <c r="F276" s="299"/>
      <c r="G276" s="191"/>
      <c r="H276" s="179" t="s">
        <v>200</v>
      </c>
      <c r="I276" s="228"/>
      <c r="J276" s="228"/>
      <c r="K276" s="179" t="s">
        <v>201</v>
      </c>
      <c r="L276" s="228"/>
      <c r="M276" s="228"/>
      <c r="N276" s="101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</row>
    <row r="277" spans="1:26" s="103" customFormat="1" ht="108.6" customHeight="1" x14ac:dyDescent="0.25">
      <c r="A277" s="192"/>
      <c r="B277" s="192"/>
      <c r="C277" s="192"/>
      <c r="D277" s="192"/>
      <c r="E277" s="182"/>
      <c r="F277" s="183"/>
      <c r="G277" s="192"/>
      <c r="H277" s="73" t="s">
        <v>45</v>
      </c>
      <c r="I277" s="74" t="s">
        <v>152</v>
      </c>
      <c r="J277" s="74" t="s">
        <v>150</v>
      </c>
      <c r="K277" s="73" t="s">
        <v>45</v>
      </c>
      <c r="L277" s="74" t="s">
        <v>134</v>
      </c>
      <c r="M277" s="74" t="s">
        <v>151</v>
      </c>
      <c r="N277" s="101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</row>
    <row r="278" spans="1:26" s="131" customFormat="1" ht="9" customHeight="1" x14ac:dyDescent="0.25">
      <c r="A278" s="47">
        <v>1</v>
      </c>
      <c r="B278" s="47">
        <v>2</v>
      </c>
      <c r="C278" s="47">
        <v>3</v>
      </c>
      <c r="D278" s="47">
        <v>4</v>
      </c>
      <c r="E278" s="257">
        <v>5</v>
      </c>
      <c r="F278" s="300"/>
      <c r="G278" s="47">
        <v>6</v>
      </c>
      <c r="H278" s="47">
        <v>7</v>
      </c>
      <c r="I278" s="76">
        <v>8</v>
      </c>
      <c r="J278" s="76">
        <v>9</v>
      </c>
      <c r="K278" s="47">
        <v>10</v>
      </c>
      <c r="L278" s="76">
        <v>11</v>
      </c>
      <c r="M278" s="76">
        <v>12</v>
      </c>
      <c r="N278" s="112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</row>
    <row r="279" spans="1:26" s="103" customFormat="1" x14ac:dyDescent="0.25">
      <c r="A279" s="50">
        <v>1</v>
      </c>
      <c r="B279" s="43" t="s">
        <v>332</v>
      </c>
      <c r="C279" s="44">
        <f>G279/D279</f>
        <v>305.48</v>
      </c>
      <c r="D279" s="44">
        <v>2830</v>
      </c>
      <c r="E279" s="257"/>
      <c r="F279" s="300"/>
      <c r="G279" s="44">
        <v>864511.96</v>
      </c>
      <c r="H279" s="93"/>
      <c r="I279" s="94"/>
      <c r="J279" s="94">
        <v>46410.73</v>
      </c>
      <c r="K279" s="94">
        <f>C279</f>
        <v>305.48</v>
      </c>
      <c r="L279" s="94">
        <f>D279</f>
        <v>2830</v>
      </c>
      <c r="M279" s="94">
        <f>G279</f>
        <v>864511.96</v>
      </c>
      <c r="N279" s="101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</row>
    <row r="280" spans="1:26" s="103" customFormat="1" x14ac:dyDescent="0.25">
      <c r="A280" s="50">
        <v>2</v>
      </c>
      <c r="B280" s="43" t="s">
        <v>333</v>
      </c>
      <c r="C280" s="44">
        <f>G280/D280</f>
        <v>72418.59</v>
      </c>
      <c r="D280" s="44">
        <v>6.7</v>
      </c>
      <c r="E280" s="257"/>
      <c r="F280" s="300"/>
      <c r="G280" s="44">
        <f>464546.4+20658.16</f>
        <v>485204.56</v>
      </c>
      <c r="H280" s="93">
        <v>0</v>
      </c>
      <c r="I280" s="94">
        <v>0</v>
      </c>
      <c r="J280" s="94">
        <v>23382.04</v>
      </c>
      <c r="K280" s="94">
        <f>C280</f>
        <v>72418.59</v>
      </c>
      <c r="L280" s="94">
        <f>D280</f>
        <v>6.7</v>
      </c>
      <c r="M280" s="94">
        <f>G280</f>
        <v>485204.56</v>
      </c>
      <c r="N280" s="101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</row>
    <row r="281" spans="1:26" s="103" customFormat="1" x14ac:dyDescent="0.25">
      <c r="A281" s="214" t="s">
        <v>12</v>
      </c>
      <c r="B281" s="223"/>
      <c r="C281" s="44" t="s">
        <v>13</v>
      </c>
      <c r="D281" s="44" t="s">
        <v>13</v>
      </c>
      <c r="E281" s="257" t="s">
        <v>13</v>
      </c>
      <c r="F281" s="300"/>
      <c r="G281" s="45">
        <f>SUM(G279:G280)</f>
        <v>1349716.52</v>
      </c>
      <c r="H281" s="95" t="s">
        <v>13</v>
      </c>
      <c r="I281" s="95" t="s">
        <v>13</v>
      </c>
      <c r="J281" s="95">
        <f>SUM(J279:J280)</f>
        <v>69792.77</v>
      </c>
      <c r="K281" s="95" t="s">
        <v>13</v>
      </c>
      <c r="L281" s="95" t="s">
        <v>13</v>
      </c>
      <c r="M281" s="95">
        <f>SUM(M279:M280)</f>
        <v>1349716.52</v>
      </c>
      <c r="N281" s="101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</row>
    <row r="282" spans="1:26" s="103" customFormat="1" x14ac:dyDescent="0.25">
      <c r="A282" s="66"/>
      <c r="B282" s="67"/>
      <c r="C282" s="68"/>
      <c r="D282" s="70"/>
      <c r="E282" s="69"/>
      <c r="F282" s="69"/>
      <c r="G282" s="69"/>
      <c r="H282" s="51"/>
      <c r="I282" s="51"/>
      <c r="J282" s="51"/>
      <c r="K282" s="51"/>
      <c r="L282" s="51"/>
      <c r="M282" s="51"/>
      <c r="N282" s="101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</row>
    <row r="283" spans="1:26" s="103" customFormat="1" x14ac:dyDescent="0.25">
      <c r="A283" s="66"/>
      <c r="B283" s="67"/>
      <c r="C283" s="68"/>
      <c r="D283" s="70"/>
      <c r="E283" s="69"/>
      <c r="F283" s="69"/>
      <c r="G283" s="69"/>
      <c r="H283" s="51"/>
      <c r="I283" s="51"/>
      <c r="J283" s="51"/>
      <c r="K283" s="51"/>
      <c r="L283" s="51"/>
      <c r="M283" s="51"/>
      <c r="N283" s="101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</row>
    <row r="284" spans="1:26" s="103" customFormat="1" x14ac:dyDescent="0.25">
      <c r="A284" s="66"/>
      <c r="B284" s="67"/>
      <c r="C284" s="68"/>
      <c r="D284" s="70"/>
      <c r="E284" s="69"/>
      <c r="F284" s="69"/>
      <c r="G284" s="69"/>
      <c r="H284" s="51"/>
      <c r="I284" s="51"/>
      <c r="J284" s="51"/>
      <c r="K284" s="51"/>
      <c r="L284" s="51"/>
      <c r="M284" s="51"/>
      <c r="N284" s="101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</row>
    <row r="285" spans="1:26" s="103" customFormat="1" ht="14.45" customHeight="1" x14ac:dyDescent="0.25">
      <c r="A285" s="66"/>
      <c r="B285" s="132"/>
      <c r="C285" s="304"/>
      <c r="D285" s="304"/>
      <c r="E285" s="303"/>
      <c r="F285" s="303"/>
      <c r="G285" s="303"/>
      <c r="H285" s="133"/>
      <c r="I285" s="51"/>
      <c r="J285" s="51"/>
      <c r="K285" s="51"/>
      <c r="L285" s="51"/>
      <c r="M285" s="51"/>
      <c r="N285" s="101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</row>
    <row r="286" spans="1:26" s="103" customFormat="1" x14ac:dyDescent="0.25">
      <c r="A286" s="66"/>
      <c r="B286" s="67"/>
      <c r="C286" s="68"/>
      <c r="D286" s="70"/>
      <c r="E286" s="69"/>
      <c r="F286" s="69"/>
      <c r="G286" s="69"/>
      <c r="H286" s="51"/>
      <c r="I286" s="51"/>
      <c r="J286" s="51"/>
      <c r="K286" s="51"/>
      <c r="L286" s="51"/>
      <c r="M286" s="51"/>
      <c r="N286" s="101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spans="1:26" s="103" customFormat="1" x14ac:dyDescent="0.25">
      <c r="A287" s="66"/>
      <c r="B287" s="67"/>
      <c r="C287" s="68"/>
      <c r="D287" s="70"/>
      <c r="E287" s="69"/>
      <c r="F287" s="69"/>
      <c r="G287" s="69"/>
      <c r="H287" s="51"/>
      <c r="I287" s="51"/>
      <c r="J287" s="51"/>
      <c r="K287" s="51"/>
      <c r="L287" s="51"/>
      <c r="M287" s="51"/>
      <c r="N287" s="101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spans="1:26" s="103" customFormat="1" x14ac:dyDescent="0.25">
      <c r="A288" s="66"/>
      <c r="B288" s="67"/>
      <c r="C288" s="68"/>
      <c r="D288" s="70"/>
      <c r="E288" s="69"/>
      <c r="F288" s="69"/>
      <c r="G288" s="69"/>
      <c r="H288" s="51"/>
      <c r="I288" s="51"/>
      <c r="J288" s="51"/>
      <c r="K288" s="51"/>
      <c r="L288" s="51"/>
      <c r="M288" s="51"/>
      <c r="N288" s="101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spans="1:26" s="103" customFormat="1" x14ac:dyDescent="0.25">
      <c r="A289" s="66"/>
      <c r="B289" s="67"/>
      <c r="C289" s="68"/>
      <c r="D289" s="70"/>
      <c r="E289" s="69"/>
      <c r="F289" s="69"/>
      <c r="G289" s="69"/>
      <c r="H289" s="51"/>
      <c r="I289" s="51"/>
      <c r="J289" s="51"/>
      <c r="K289" s="51"/>
      <c r="L289" s="51"/>
      <c r="M289" s="51"/>
      <c r="N289" s="101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</row>
    <row r="290" spans="1:26" s="103" customFormat="1" x14ac:dyDescent="0.25">
      <c r="A290" s="66"/>
      <c r="B290" s="67"/>
      <c r="C290" s="68"/>
      <c r="D290" s="70"/>
      <c r="E290" s="69"/>
      <c r="F290" s="69"/>
      <c r="G290" s="69"/>
      <c r="H290" s="51"/>
      <c r="I290" s="51"/>
      <c r="J290" s="51"/>
      <c r="K290" s="51"/>
      <c r="L290" s="51"/>
      <c r="M290" s="51"/>
      <c r="N290" s="101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spans="1:26" s="103" customFormat="1" x14ac:dyDescent="0.25">
      <c r="A291" s="66"/>
      <c r="B291" s="67"/>
      <c r="C291" s="68"/>
      <c r="D291" s="70"/>
      <c r="E291" s="69"/>
      <c r="F291" s="69"/>
      <c r="G291" s="69"/>
      <c r="H291" s="51"/>
      <c r="I291" s="51"/>
      <c r="J291" s="51"/>
      <c r="K291" s="51"/>
      <c r="L291" s="51"/>
      <c r="M291" s="51"/>
      <c r="N291" s="101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spans="1:26" s="103" customFormat="1" x14ac:dyDescent="0.25">
      <c r="A292" s="66"/>
      <c r="B292" s="67"/>
      <c r="C292" s="68"/>
      <c r="D292" s="70"/>
      <c r="E292" s="69"/>
      <c r="F292" s="69"/>
      <c r="G292" s="69"/>
      <c r="H292" s="51"/>
      <c r="I292" s="51"/>
      <c r="J292" s="51"/>
      <c r="K292" s="51"/>
      <c r="L292" s="51"/>
      <c r="M292" s="51"/>
      <c r="N292" s="101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spans="1:26" s="103" customFormat="1" x14ac:dyDescent="0.25">
      <c r="A293" s="66"/>
      <c r="B293" s="67"/>
      <c r="C293" s="68"/>
      <c r="D293" s="70"/>
      <c r="E293" s="69"/>
      <c r="F293" s="69"/>
      <c r="G293" s="69"/>
      <c r="H293" s="51"/>
      <c r="I293" s="51"/>
      <c r="J293" s="51"/>
      <c r="K293" s="51"/>
      <c r="L293" s="51"/>
      <c r="M293" s="51"/>
      <c r="N293" s="101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</row>
    <row r="294" spans="1:26" s="103" customFormat="1" x14ac:dyDescent="0.25">
      <c r="A294" s="66"/>
      <c r="B294" s="67"/>
      <c r="C294" s="68"/>
      <c r="D294" s="70"/>
      <c r="E294" s="69"/>
      <c r="F294" s="69"/>
      <c r="G294" s="69"/>
      <c r="H294" s="51"/>
      <c r="I294" s="51"/>
      <c r="J294" s="51"/>
      <c r="K294" s="51"/>
      <c r="L294" s="51"/>
      <c r="M294" s="51"/>
      <c r="N294" s="101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</row>
    <row r="295" spans="1:26" s="103" customFormat="1" ht="14.25" customHeight="1" x14ac:dyDescent="0.25">
      <c r="A295" s="66"/>
      <c r="B295" s="67"/>
      <c r="C295" s="68"/>
      <c r="D295" s="70"/>
      <c r="E295" s="69"/>
      <c r="F295" s="69"/>
      <c r="G295" s="69"/>
      <c r="H295" s="51"/>
      <c r="I295" s="51"/>
      <c r="J295" s="51"/>
      <c r="K295" s="51"/>
      <c r="L295" s="51"/>
      <c r="M295" s="51"/>
      <c r="N295" s="101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</row>
    <row r="296" spans="1:26" s="103" customFormat="1" ht="15.75" customHeight="1" x14ac:dyDescent="0.25">
      <c r="A296" s="66"/>
      <c r="B296" s="67"/>
      <c r="C296" s="68"/>
      <c r="D296" s="70"/>
      <c r="E296" s="69"/>
      <c r="F296" s="69"/>
      <c r="G296" s="69"/>
      <c r="H296" s="51"/>
      <c r="I296" s="51"/>
      <c r="J296" s="51"/>
      <c r="K296" s="51"/>
      <c r="L296" s="51"/>
      <c r="M296" s="51"/>
      <c r="N296" s="101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</row>
    <row r="297" spans="1:26" s="103" customFormat="1" x14ac:dyDescent="0.25">
      <c r="A297" s="66"/>
      <c r="B297" s="67"/>
      <c r="C297" s="68"/>
      <c r="D297" s="70"/>
      <c r="E297" s="69"/>
      <c r="F297" s="69"/>
      <c r="G297" s="69"/>
      <c r="H297" s="51"/>
      <c r="I297" s="51"/>
      <c r="J297" s="51"/>
      <c r="K297" s="51"/>
      <c r="L297" s="51"/>
      <c r="M297" s="51"/>
      <c r="N297" s="101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</row>
    <row r="298" spans="1:26" s="103" customFormat="1" x14ac:dyDescent="0.25">
      <c r="A298" s="66"/>
      <c r="B298" s="67"/>
      <c r="C298" s="68"/>
      <c r="D298" s="70"/>
      <c r="E298" s="69"/>
      <c r="F298" s="69"/>
      <c r="G298" s="69"/>
      <c r="H298" s="51"/>
      <c r="I298" s="51"/>
      <c r="J298" s="51"/>
      <c r="K298" s="51"/>
      <c r="L298" s="51"/>
      <c r="M298" s="51"/>
      <c r="N298" s="101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</row>
    <row r="299" spans="1:26" s="103" customFormat="1" x14ac:dyDescent="0.25">
      <c r="A299" s="66"/>
      <c r="B299" s="67"/>
      <c r="C299" s="68"/>
      <c r="D299" s="70"/>
      <c r="E299" s="69"/>
      <c r="F299" s="69"/>
      <c r="G299" s="69"/>
      <c r="H299" s="51"/>
      <c r="I299" s="51"/>
      <c r="J299" s="51"/>
      <c r="K299" s="51"/>
      <c r="L299" s="51"/>
      <c r="M299" s="51"/>
      <c r="N299" s="101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</row>
    <row r="300" spans="1:26" s="103" customFormat="1" x14ac:dyDescent="0.25">
      <c r="A300" s="66"/>
      <c r="B300" s="67"/>
      <c r="C300" s="68"/>
      <c r="D300" s="70"/>
      <c r="E300" s="69"/>
      <c r="F300" s="69"/>
      <c r="G300" s="69"/>
      <c r="H300" s="51"/>
      <c r="I300" s="51"/>
      <c r="J300" s="51"/>
      <c r="K300" s="51"/>
      <c r="L300" s="51"/>
      <c r="M300" s="51"/>
      <c r="N300" s="101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</row>
    <row r="301" spans="1:26" s="103" customFormat="1" x14ac:dyDescent="0.25">
      <c r="A301" s="66"/>
      <c r="B301" s="67"/>
      <c r="C301" s="68"/>
      <c r="D301" s="70"/>
      <c r="E301" s="69"/>
      <c r="F301" s="69"/>
      <c r="G301" s="69"/>
      <c r="H301" s="51"/>
      <c r="I301" s="51"/>
      <c r="J301" s="51"/>
      <c r="K301" s="51"/>
      <c r="L301" s="51"/>
      <c r="M301" s="51"/>
      <c r="N301" s="101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</row>
    <row r="302" spans="1:26" s="103" customFormat="1" x14ac:dyDescent="0.25">
      <c r="A302" s="66"/>
      <c r="B302" s="67"/>
      <c r="C302" s="68"/>
      <c r="D302" s="70"/>
      <c r="E302" s="69"/>
      <c r="F302" s="69"/>
      <c r="G302" s="69"/>
      <c r="H302" s="51"/>
      <c r="I302" s="51"/>
      <c r="J302" s="51"/>
      <c r="K302" s="51"/>
      <c r="L302" s="51"/>
      <c r="M302" s="51"/>
      <c r="N302" s="101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</row>
    <row r="303" spans="1:26" s="103" customFormat="1" x14ac:dyDescent="0.25">
      <c r="A303" s="66"/>
      <c r="B303" s="67"/>
      <c r="C303" s="68"/>
      <c r="D303" s="70"/>
      <c r="E303" s="69"/>
      <c r="F303" s="69"/>
      <c r="G303" s="69"/>
      <c r="H303" s="51"/>
      <c r="I303" s="51"/>
      <c r="J303" s="51"/>
      <c r="K303" s="51"/>
      <c r="L303" s="51"/>
      <c r="M303" s="51"/>
      <c r="N303" s="101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</row>
    <row r="304" spans="1:26" s="103" customFormat="1" x14ac:dyDescent="0.25">
      <c r="A304" s="66"/>
      <c r="B304" s="67"/>
      <c r="C304" s="68"/>
      <c r="D304" s="70"/>
      <c r="E304" s="69"/>
      <c r="F304" s="69"/>
      <c r="G304" s="69"/>
      <c r="H304" s="51"/>
      <c r="I304" s="51"/>
      <c r="J304" s="51"/>
      <c r="K304" s="51"/>
      <c r="L304" s="51"/>
      <c r="M304" s="51"/>
      <c r="N304" s="101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</row>
    <row r="305" spans="1:26" s="103" customFormat="1" x14ac:dyDescent="0.25">
      <c r="A305" s="66"/>
      <c r="B305" s="67"/>
      <c r="C305" s="68"/>
      <c r="D305" s="70"/>
      <c r="E305" s="69"/>
      <c r="F305" s="69"/>
      <c r="G305" s="69"/>
      <c r="H305" s="51"/>
      <c r="I305" s="51"/>
      <c r="J305" s="51"/>
      <c r="K305" s="51"/>
      <c r="L305" s="51"/>
      <c r="M305" s="51"/>
      <c r="N305" s="101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</row>
    <row r="306" spans="1:26" s="103" customFormat="1" x14ac:dyDescent="0.25">
      <c r="A306" s="66"/>
      <c r="B306" s="67"/>
      <c r="C306" s="68"/>
      <c r="D306" s="70"/>
      <c r="E306" s="69"/>
      <c r="F306" s="69"/>
      <c r="G306" s="69"/>
      <c r="H306" s="51"/>
      <c r="I306" s="51"/>
      <c r="J306" s="51"/>
      <c r="K306" s="51"/>
      <c r="L306" s="51"/>
      <c r="M306" s="51"/>
      <c r="N306" s="101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</row>
    <row r="307" spans="1:26" s="103" customFormat="1" x14ac:dyDescent="0.25">
      <c r="A307" s="66"/>
      <c r="B307" s="67"/>
      <c r="C307" s="68"/>
      <c r="D307" s="70"/>
      <c r="E307" s="69"/>
      <c r="F307" s="69"/>
      <c r="G307" s="69"/>
      <c r="H307" s="51"/>
      <c r="I307" s="51"/>
      <c r="J307" s="51"/>
      <c r="K307" s="51"/>
      <c r="L307" s="51"/>
      <c r="M307" s="51"/>
      <c r="N307" s="101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</row>
    <row r="308" spans="1:26" s="103" customFormat="1" x14ac:dyDescent="0.25">
      <c r="A308" s="66"/>
      <c r="B308" s="67"/>
      <c r="C308" s="68"/>
      <c r="D308" s="70"/>
      <c r="E308" s="69"/>
      <c r="F308" s="69"/>
      <c r="G308" s="69"/>
      <c r="H308" s="51"/>
      <c r="I308" s="51"/>
      <c r="J308" s="51"/>
      <c r="K308" s="51"/>
      <c r="L308" s="51"/>
      <c r="M308" s="51"/>
      <c r="N308" s="101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</row>
    <row r="309" spans="1:26" s="103" customFormat="1" x14ac:dyDescent="0.25">
      <c r="A309" s="66"/>
      <c r="B309" s="67"/>
      <c r="C309" s="68"/>
      <c r="D309" s="70"/>
      <c r="E309" s="69"/>
      <c r="F309" s="69"/>
      <c r="G309" s="69"/>
      <c r="H309" s="51"/>
      <c r="I309" s="51"/>
      <c r="J309" s="51"/>
      <c r="K309" s="51"/>
      <c r="L309" s="51"/>
      <c r="M309" s="51"/>
      <c r="N309" s="101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</row>
    <row r="310" spans="1:26" s="103" customFormat="1" x14ac:dyDescent="0.25">
      <c r="A310" s="66"/>
      <c r="B310" s="67"/>
      <c r="C310" s="68"/>
      <c r="D310" s="70"/>
      <c r="E310" s="69"/>
      <c r="F310" s="69"/>
      <c r="G310" s="69"/>
      <c r="H310" s="51"/>
      <c r="I310" s="51"/>
      <c r="J310" s="51"/>
      <c r="K310" s="51"/>
      <c r="L310" s="51"/>
      <c r="M310" s="51"/>
      <c r="N310" s="101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</row>
    <row r="311" spans="1:26" s="103" customFormat="1" x14ac:dyDescent="0.25">
      <c r="A311" s="66"/>
      <c r="B311" s="67"/>
      <c r="C311" s="68"/>
      <c r="D311" s="70"/>
      <c r="E311" s="69"/>
      <c r="F311" s="69"/>
      <c r="G311" s="69"/>
      <c r="H311" s="51"/>
      <c r="I311" s="51"/>
      <c r="J311" s="51"/>
      <c r="K311" s="51"/>
      <c r="L311" s="51"/>
      <c r="M311" s="51"/>
      <c r="N311" s="101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</row>
    <row r="312" spans="1:26" ht="93" customHeight="1" x14ac:dyDescent="0.25">
      <c r="E312" s="10"/>
      <c r="F312" s="10"/>
    </row>
    <row r="316" spans="1:26" ht="15.75" x14ac:dyDescent="0.25">
      <c r="E316" s="306">
        <f>E55+G56+E91+G131+E139+G151+E181+E211+E247+E270+E75+E99</f>
        <v>23992367.300000001</v>
      </c>
      <c r="F316" s="306"/>
      <c r="G316" s="307"/>
      <c r="H316" s="286">
        <f>H11+H56+H83+H91+H99+H131+H139+J151+H181+H211+H219+H247+H270</f>
        <v>12454905.91</v>
      </c>
      <c r="I316" s="287"/>
      <c r="J316" s="287"/>
    </row>
  </sheetData>
  <mergeCells count="721">
    <mergeCell ref="K180:M180"/>
    <mergeCell ref="K247:M247"/>
    <mergeCell ref="K267:M267"/>
    <mergeCell ref="E268:G268"/>
    <mergeCell ref="H268:J268"/>
    <mergeCell ref="K268:M268"/>
    <mergeCell ref="E179:G179"/>
    <mergeCell ref="H179:J179"/>
    <mergeCell ref="K179:M179"/>
    <mergeCell ref="K191:M191"/>
    <mergeCell ref="K190:M190"/>
    <mergeCell ref="E191:G191"/>
    <mergeCell ref="H194:J194"/>
    <mergeCell ref="K192:M192"/>
    <mergeCell ref="H180:J180"/>
    <mergeCell ref="E266:G266"/>
    <mergeCell ref="H266:J266"/>
    <mergeCell ref="K266:M266"/>
    <mergeCell ref="K197:M197"/>
    <mergeCell ref="E200:G200"/>
    <mergeCell ref="H196:J196"/>
    <mergeCell ref="E203:G203"/>
    <mergeCell ref="E181:G181"/>
    <mergeCell ref="K181:M181"/>
    <mergeCell ref="H181:J181"/>
    <mergeCell ref="E172:G172"/>
    <mergeCell ref="K265:M265"/>
    <mergeCell ref="E177:G177"/>
    <mergeCell ref="H177:J177"/>
    <mergeCell ref="K177:M177"/>
    <mergeCell ref="K263:M263"/>
    <mergeCell ref="E264:G264"/>
    <mergeCell ref="H264:J264"/>
    <mergeCell ref="K264:M264"/>
    <mergeCell ref="K206:M206"/>
    <mergeCell ref="K189:M189"/>
    <mergeCell ref="E189:G189"/>
    <mergeCell ref="H189:J189"/>
    <mergeCell ref="E193:G193"/>
    <mergeCell ref="E194:G194"/>
    <mergeCell ref="H197:J197"/>
    <mergeCell ref="K193:M193"/>
    <mergeCell ref="H193:J193"/>
    <mergeCell ref="E190:G190"/>
    <mergeCell ref="H200:J200"/>
    <mergeCell ref="H201:J201"/>
    <mergeCell ref="K203:M203"/>
    <mergeCell ref="H217:J217"/>
    <mergeCell ref="K234:M234"/>
    <mergeCell ref="K137:M137"/>
    <mergeCell ref="E165:G165"/>
    <mergeCell ref="E149:F149"/>
    <mergeCell ref="E150:F150"/>
    <mergeCell ref="E158:G158"/>
    <mergeCell ref="H144:J144"/>
    <mergeCell ref="E151:F151"/>
    <mergeCell ref="A153:M153"/>
    <mergeCell ref="A155:A156"/>
    <mergeCell ref="B163:B164"/>
    <mergeCell ref="A163:A164"/>
    <mergeCell ref="H159:J159"/>
    <mergeCell ref="A151:B151"/>
    <mergeCell ref="B155:B156"/>
    <mergeCell ref="C163:C164"/>
    <mergeCell ref="H163:M163"/>
    <mergeCell ref="E155:G156"/>
    <mergeCell ref="D155:D156"/>
    <mergeCell ref="H139:J139"/>
    <mergeCell ref="K144:M144"/>
    <mergeCell ref="E147:F147"/>
    <mergeCell ref="E148:F148"/>
    <mergeCell ref="K158:M158"/>
    <mergeCell ref="H143:M143"/>
    <mergeCell ref="H316:J316"/>
    <mergeCell ref="E64:G64"/>
    <mergeCell ref="H275:M275"/>
    <mergeCell ref="H276:J276"/>
    <mergeCell ref="K276:M276"/>
    <mergeCell ref="E192:G192"/>
    <mergeCell ref="A213:M213"/>
    <mergeCell ref="E316:G316"/>
    <mergeCell ref="K210:M210"/>
    <mergeCell ref="C191:D191"/>
    <mergeCell ref="E236:G236"/>
    <mergeCell ref="H236:J236"/>
    <mergeCell ref="K236:M236"/>
    <mergeCell ref="D231:D232"/>
    <mergeCell ref="H215:M215"/>
    <mergeCell ref="B231:B232"/>
    <mergeCell ref="E250:G250"/>
    <mergeCell ref="H218:J218"/>
    <mergeCell ref="K218:M218"/>
    <mergeCell ref="K217:M217"/>
    <mergeCell ref="K176:M176"/>
    <mergeCell ref="K171:M171"/>
    <mergeCell ref="H137:J137"/>
    <mergeCell ref="E285:G285"/>
    <mergeCell ref="E173:G173"/>
    <mergeCell ref="K173:M173"/>
    <mergeCell ref="H173:J173"/>
    <mergeCell ref="C285:D285"/>
    <mergeCell ref="A281:B281"/>
    <mergeCell ref="C210:D210"/>
    <mergeCell ref="C6:C7"/>
    <mergeCell ref="H11:J11"/>
    <mergeCell ref="D15:D16"/>
    <mergeCell ref="H6:M6"/>
    <mergeCell ref="H7:J7"/>
    <mergeCell ref="G6:G7"/>
    <mergeCell ref="K7:M7"/>
    <mergeCell ref="A19:B19"/>
    <mergeCell ref="A6:A7"/>
    <mergeCell ref="B6:B7"/>
    <mergeCell ref="E6:F7"/>
    <mergeCell ref="E11:F11"/>
    <mergeCell ref="E15:F16"/>
    <mergeCell ref="E17:F17"/>
    <mergeCell ref="E18:F18"/>
    <mergeCell ref="H19:J19"/>
    <mergeCell ref="E19:F19"/>
    <mergeCell ref="H95:M95"/>
    <mergeCell ref="H97:J97"/>
    <mergeCell ref="H104:M104"/>
    <mergeCell ref="H106:J106"/>
    <mergeCell ref="K114:M114"/>
    <mergeCell ref="H113:J113"/>
    <mergeCell ref="E115:G115"/>
    <mergeCell ref="E95:G96"/>
    <mergeCell ref="A131:B131"/>
    <mergeCell ref="K131:M131"/>
    <mergeCell ref="E123:F124"/>
    <mergeCell ref="E125:F125"/>
    <mergeCell ref="E126:F126"/>
    <mergeCell ref="E127:F127"/>
    <mergeCell ref="E131:F131"/>
    <mergeCell ref="H114:J114"/>
    <mergeCell ref="H125:J125"/>
    <mergeCell ref="K125:M125"/>
    <mergeCell ref="H123:M123"/>
    <mergeCell ref="H124:J124"/>
    <mergeCell ref="C123:C124"/>
    <mergeCell ref="A121:M121"/>
    <mergeCell ref="H128:J128"/>
    <mergeCell ref="K128:M128"/>
    <mergeCell ref="K96:M96"/>
    <mergeCell ref="K54:M54"/>
    <mergeCell ref="H50:J50"/>
    <mergeCell ref="K50:M50"/>
    <mergeCell ref="E54:F54"/>
    <mergeCell ref="K129:M129"/>
    <mergeCell ref="E130:F130"/>
    <mergeCell ref="H130:J130"/>
    <mergeCell ref="K130:M130"/>
    <mergeCell ref="A101:M101"/>
    <mergeCell ref="A91:B91"/>
    <mergeCell ref="H107:J107"/>
    <mergeCell ref="H99:J99"/>
    <mergeCell ref="A99:B99"/>
    <mergeCell ref="H72:J72"/>
    <mergeCell ref="K74:M74"/>
    <mergeCell ref="H83:J83"/>
    <mergeCell ref="K83:M83"/>
    <mergeCell ref="K91:M91"/>
    <mergeCell ref="K88:M88"/>
    <mergeCell ref="H89:J89"/>
    <mergeCell ref="E91:G91"/>
    <mergeCell ref="H90:J90"/>
    <mergeCell ref="H75:J75"/>
    <mergeCell ref="B79:B80"/>
    <mergeCell ref="A65:B65"/>
    <mergeCell ref="B87:B88"/>
    <mergeCell ref="D79:D80"/>
    <mergeCell ref="A79:A80"/>
    <mergeCell ref="C79:C80"/>
    <mergeCell ref="A83:B83"/>
    <mergeCell ref="A71:A72"/>
    <mergeCell ref="E74:G74"/>
    <mergeCell ref="C71:C72"/>
    <mergeCell ref="D71:D72"/>
    <mergeCell ref="E73:G73"/>
    <mergeCell ref="E81:G81"/>
    <mergeCell ref="E79:G80"/>
    <mergeCell ref="E75:G75"/>
    <mergeCell ref="E82:G82"/>
    <mergeCell ref="A87:A88"/>
    <mergeCell ref="A1:M1"/>
    <mergeCell ref="A2:M2"/>
    <mergeCell ref="A21:M21"/>
    <mergeCell ref="A38:M38"/>
    <mergeCell ref="A58:M58"/>
    <mergeCell ref="D6:D7"/>
    <mergeCell ref="E50:F50"/>
    <mergeCell ref="H27:J27"/>
    <mergeCell ref="K49:M49"/>
    <mergeCell ref="H52:J52"/>
    <mergeCell ref="H45:J45"/>
    <mergeCell ref="K42:M42"/>
    <mergeCell ref="H33:J33"/>
    <mergeCell ref="H43:J43"/>
    <mergeCell ref="E48:F48"/>
    <mergeCell ref="E49:F49"/>
    <mergeCell ref="H48:J48"/>
    <mergeCell ref="E51:F51"/>
    <mergeCell ref="H54:J54"/>
    <mergeCell ref="H49:J49"/>
    <mergeCell ref="H44:J44"/>
    <mergeCell ref="E44:F44"/>
    <mergeCell ref="E45:F45"/>
    <mergeCell ref="E46:F46"/>
    <mergeCell ref="K48:M48"/>
    <mergeCell ref="K46:M46"/>
    <mergeCell ref="H46:J46"/>
    <mergeCell ref="K41:M41"/>
    <mergeCell ref="H47:J47"/>
    <mergeCell ref="K45:M45"/>
    <mergeCell ref="E47:F47"/>
    <mergeCell ref="K44:M44"/>
    <mergeCell ref="K47:M47"/>
    <mergeCell ref="H51:J51"/>
    <mergeCell ref="A95:A96"/>
    <mergeCell ref="E87:G88"/>
    <mergeCell ref="E90:G90"/>
    <mergeCell ref="B95:B96"/>
    <mergeCell ref="E83:G83"/>
    <mergeCell ref="A40:A41"/>
    <mergeCell ref="C61:C62"/>
    <mergeCell ref="A56:D56"/>
    <mergeCell ref="B51:D51"/>
    <mergeCell ref="B52:D52"/>
    <mergeCell ref="A61:A62"/>
    <mergeCell ref="G40:G41"/>
    <mergeCell ref="B53:D53"/>
    <mergeCell ref="B61:B62"/>
    <mergeCell ref="D61:D62"/>
    <mergeCell ref="B49:D49"/>
    <mergeCell ref="B55:D55"/>
    <mergeCell ref="E52:F52"/>
    <mergeCell ref="E56:F56"/>
    <mergeCell ref="E53:F53"/>
    <mergeCell ref="E55:F55"/>
    <mergeCell ref="B54:D54"/>
    <mergeCell ref="A75:B75"/>
    <mergeCell ref="E8:F8"/>
    <mergeCell ref="E9:F9"/>
    <mergeCell ref="E10:F10"/>
    <mergeCell ref="K16:M16"/>
    <mergeCell ref="B15:B16"/>
    <mergeCell ref="C15:C16"/>
    <mergeCell ref="K9:M9"/>
    <mergeCell ref="E23:F24"/>
    <mergeCell ref="H8:J8"/>
    <mergeCell ref="K8:M8"/>
    <mergeCell ref="H9:J9"/>
    <mergeCell ref="H15:M15"/>
    <mergeCell ref="H16:J16"/>
    <mergeCell ref="K19:M19"/>
    <mergeCell ref="A11:B11"/>
    <mergeCell ref="H10:J10"/>
    <mergeCell ref="A23:A24"/>
    <mergeCell ref="D23:D24"/>
    <mergeCell ref="A13:M13"/>
    <mergeCell ref="H18:J18"/>
    <mergeCell ref="G23:G24"/>
    <mergeCell ref="A15:A16"/>
    <mergeCell ref="K10:M10"/>
    <mergeCell ref="K11:M11"/>
    <mergeCell ref="K24:M24"/>
    <mergeCell ref="H17:J17"/>
    <mergeCell ref="K17:M17"/>
    <mergeCell ref="K43:M43"/>
    <mergeCell ref="E25:F25"/>
    <mergeCell ref="E26:F26"/>
    <mergeCell ref="E42:F42"/>
    <mergeCell ref="E43:F43"/>
    <mergeCell ref="K18:M18"/>
    <mergeCell ref="H40:M40"/>
    <mergeCell ref="H41:J41"/>
    <mergeCell ref="H42:J42"/>
    <mergeCell ref="E40:F41"/>
    <mergeCell ref="H34:J34"/>
    <mergeCell ref="G15:G16"/>
    <mergeCell ref="H23:M23"/>
    <mergeCell ref="H24:J24"/>
    <mergeCell ref="H25:J25"/>
    <mergeCell ref="K36:M36"/>
    <mergeCell ref="K33:M33"/>
    <mergeCell ref="H32:M32"/>
    <mergeCell ref="K35:M35"/>
    <mergeCell ref="H26:J26"/>
    <mergeCell ref="K26:M26"/>
    <mergeCell ref="E35:G35"/>
    <mergeCell ref="H35:J35"/>
    <mergeCell ref="E36:G36"/>
    <mergeCell ref="K27:M27"/>
    <mergeCell ref="A29:M29"/>
    <mergeCell ref="H36:J36"/>
    <mergeCell ref="E32:G33"/>
    <mergeCell ref="A27:B27"/>
    <mergeCell ref="K34:M34"/>
    <mergeCell ref="K25:M25"/>
    <mergeCell ref="E34:G34"/>
    <mergeCell ref="E27:F27"/>
    <mergeCell ref="C23:C24"/>
    <mergeCell ref="B23:B24"/>
    <mergeCell ref="B45:D45"/>
    <mergeCell ref="B40:D41"/>
    <mergeCell ref="B47:D47"/>
    <mergeCell ref="B50:D50"/>
    <mergeCell ref="B43:D43"/>
    <mergeCell ref="B44:D44"/>
    <mergeCell ref="D32:D33"/>
    <mergeCell ref="B46:D46"/>
    <mergeCell ref="A32:A33"/>
    <mergeCell ref="B32:B33"/>
    <mergeCell ref="C32:C33"/>
    <mergeCell ref="B48:D48"/>
    <mergeCell ref="B42:D42"/>
    <mergeCell ref="A36:B36"/>
    <mergeCell ref="H53:J53"/>
    <mergeCell ref="K53:M53"/>
    <mergeCell ref="D87:D88"/>
    <mergeCell ref="C87:C88"/>
    <mergeCell ref="H98:J98"/>
    <mergeCell ref="K98:M98"/>
    <mergeCell ref="K90:M90"/>
    <mergeCell ref="H88:J88"/>
    <mergeCell ref="H91:J91"/>
    <mergeCell ref="E89:G89"/>
    <mergeCell ref="H87:M87"/>
    <mergeCell ref="K89:M89"/>
    <mergeCell ref="C95:C96"/>
    <mergeCell ref="D95:D96"/>
    <mergeCell ref="H80:J80"/>
    <mergeCell ref="K75:M75"/>
    <mergeCell ref="K82:M82"/>
    <mergeCell ref="H79:M79"/>
    <mergeCell ref="H74:J74"/>
    <mergeCell ref="E61:G62"/>
    <mergeCell ref="H81:J81"/>
    <mergeCell ref="K81:M81"/>
    <mergeCell ref="H82:J82"/>
    <mergeCell ref="K80:M80"/>
    <mergeCell ref="K51:M51"/>
    <mergeCell ref="A67:M67"/>
    <mergeCell ref="K63:M63"/>
    <mergeCell ref="H73:J73"/>
    <mergeCell ref="K56:M56"/>
    <mergeCell ref="E71:G72"/>
    <mergeCell ref="H71:M71"/>
    <mergeCell ref="K72:M72"/>
    <mergeCell ref="H61:M61"/>
    <mergeCell ref="H62:J62"/>
    <mergeCell ref="E63:G63"/>
    <mergeCell ref="E65:G65"/>
    <mergeCell ref="B71:B72"/>
    <mergeCell ref="K73:M73"/>
    <mergeCell ref="K62:M62"/>
    <mergeCell ref="H56:J56"/>
    <mergeCell ref="H63:J63"/>
    <mergeCell ref="K65:M65"/>
    <mergeCell ref="H55:J55"/>
    <mergeCell ref="K55:M55"/>
    <mergeCell ref="H65:J65"/>
    <mergeCell ref="H64:J64"/>
    <mergeCell ref="K64:M64"/>
    <mergeCell ref="K52:M52"/>
    <mergeCell ref="K105:M105"/>
    <mergeCell ref="H116:J116"/>
    <mergeCell ref="H108:J108"/>
    <mergeCell ref="K108:M108"/>
    <mergeCell ref="A104:A105"/>
    <mergeCell ref="K106:M106"/>
    <mergeCell ref="A109:M109"/>
    <mergeCell ref="E104:G105"/>
    <mergeCell ref="B104:B105"/>
    <mergeCell ref="D104:D105"/>
    <mergeCell ref="C104:C105"/>
    <mergeCell ref="E106:G106"/>
    <mergeCell ref="E112:G113"/>
    <mergeCell ref="A112:A113"/>
    <mergeCell ref="B112:B113"/>
    <mergeCell ref="E107:G107"/>
    <mergeCell ref="D112:D113"/>
    <mergeCell ref="C112:C113"/>
    <mergeCell ref="K113:M113"/>
    <mergeCell ref="H112:M112"/>
    <mergeCell ref="H115:J115"/>
    <mergeCell ref="E99:G99"/>
    <mergeCell ref="H96:J96"/>
    <mergeCell ref="E167:G167"/>
    <mergeCell ref="E166:G166"/>
    <mergeCell ref="H169:J169"/>
    <mergeCell ref="H165:J165"/>
    <mergeCell ref="K165:M165"/>
    <mergeCell ref="E138:G138"/>
    <mergeCell ref="E169:G169"/>
    <mergeCell ref="H157:J157"/>
    <mergeCell ref="K157:M157"/>
    <mergeCell ref="K167:M167"/>
    <mergeCell ref="E159:G159"/>
    <mergeCell ref="E168:G168"/>
    <mergeCell ref="H168:J168"/>
    <mergeCell ref="K168:M168"/>
    <mergeCell ref="H167:J167"/>
    <mergeCell ref="H164:J164"/>
    <mergeCell ref="A141:M141"/>
    <mergeCell ref="A143:A145"/>
    <mergeCell ref="K139:M139"/>
    <mergeCell ref="G143:G145"/>
    <mergeCell ref="E163:G164"/>
    <mergeCell ref="H155:M155"/>
    <mergeCell ref="A161:M161"/>
    <mergeCell ref="D163:D164"/>
    <mergeCell ref="H158:J158"/>
    <mergeCell ref="A159:B159"/>
    <mergeCell ref="H156:J156"/>
    <mergeCell ref="K156:M156"/>
    <mergeCell ref="K159:M159"/>
    <mergeCell ref="E157:G157"/>
    <mergeCell ref="K164:M164"/>
    <mergeCell ref="C155:C156"/>
    <mergeCell ref="K166:M166"/>
    <mergeCell ref="E185:G186"/>
    <mergeCell ref="H231:M231"/>
    <mergeCell ref="C201:D201"/>
    <mergeCell ref="C204:D204"/>
    <mergeCell ref="B212:C212"/>
    <mergeCell ref="K201:M201"/>
    <mergeCell ref="E215:G216"/>
    <mergeCell ref="E204:G204"/>
    <mergeCell ref="H204:J204"/>
    <mergeCell ref="K202:M202"/>
    <mergeCell ref="E201:G201"/>
    <mergeCell ref="K204:M204"/>
    <mergeCell ref="K216:M216"/>
    <mergeCell ref="A219:B219"/>
    <mergeCell ref="C203:D203"/>
    <mergeCell ref="B215:B216"/>
    <mergeCell ref="A227:B227"/>
    <mergeCell ref="A229:M229"/>
    <mergeCell ref="H202:J202"/>
    <mergeCell ref="H166:J166"/>
    <mergeCell ref="C202:D202"/>
    <mergeCell ref="E202:G202"/>
    <mergeCell ref="C199:D199"/>
    <mergeCell ref="H198:J198"/>
    <mergeCell ref="H192:J192"/>
    <mergeCell ref="H191:J191"/>
    <mergeCell ref="C193:D193"/>
    <mergeCell ref="C196:D196"/>
    <mergeCell ref="E210:G210"/>
    <mergeCell ref="H210:J210"/>
    <mergeCell ref="C209:D209"/>
    <mergeCell ref="K169:M169"/>
    <mergeCell ref="E170:G170"/>
    <mergeCell ref="H170:J170"/>
    <mergeCell ref="K170:M170"/>
    <mergeCell ref="E175:G175"/>
    <mergeCell ref="H175:J175"/>
    <mergeCell ref="K175:M175"/>
    <mergeCell ref="E176:G176"/>
    <mergeCell ref="H176:J176"/>
    <mergeCell ref="H171:J171"/>
    <mergeCell ref="E171:G171"/>
    <mergeCell ref="E180:G180"/>
    <mergeCell ref="E174:G174"/>
    <mergeCell ref="H174:J174"/>
    <mergeCell ref="K174:M174"/>
    <mergeCell ref="H172:J172"/>
    <mergeCell ref="K199:M199"/>
    <mergeCell ref="K188:M188"/>
    <mergeCell ref="E195:G195"/>
    <mergeCell ref="C207:D207"/>
    <mergeCell ref="E207:G207"/>
    <mergeCell ref="H207:J207"/>
    <mergeCell ref="K207:M207"/>
    <mergeCell ref="C200:D200"/>
    <mergeCell ref="C211:D211"/>
    <mergeCell ref="H211:J211"/>
    <mergeCell ref="E211:G211"/>
    <mergeCell ref="K205:M205"/>
    <mergeCell ref="K195:M195"/>
    <mergeCell ref="H195:J195"/>
    <mergeCell ref="E188:G188"/>
    <mergeCell ref="C198:D198"/>
    <mergeCell ref="C197:D197"/>
    <mergeCell ref="C194:D194"/>
    <mergeCell ref="E196:G196"/>
    <mergeCell ref="C192:D192"/>
    <mergeCell ref="C190:D190"/>
    <mergeCell ref="C189:D189"/>
    <mergeCell ref="H188:J188"/>
    <mergeCell ref="C195:D195"/>
    <mergeCell ref="K187:M187"/>
    <mergeCell ref="A185:A186"/>
    <mergeCell ref="B185:B186"/>
    <mergeCell ref="C187:D187"/>
    <mergeCell ref="H187:J187"/>
    <mergeCell ref="K196:M196"/>
    <mergeCell ref="C188:D188"/>
    <mergeCell ref="C185:D186"/>
    <mergeCell ref="K194:M194"/>
    <mergeCell ref="H269:J269"/>
    <mergeCell ref="E253:G253"/>
    <mergeCell ref="H253:J253"/>
    <mergeCell ref="E255:G255"/>
    <mergeCell ref="H255:J255"/>
    <mergeCell ref="E259:G259"/>
    <mergeCell ref="H259:J259"/>
    <mergeCell ref="E260:G260"/>
    <mergeCell ref="E269:G269"/>
    <mergeCell ref="E257:G257"/>
    <mergeCell ref="H257:J257"/>
    <mergeCell ref="E256:G256"/>
    <mergeCell ref="H256:J256"/>
    <mergeCell ref="E254:G254"/>
    <mergeCell ref="H254:J254"/>
    <mergeCell ref="E258:G258"/>
    <mergeCell ref="H258:J258"/>
    <mergeCell ref="E263:G263"/>
    <mergeCell ref="H263:J263"/>
    <mergeCell ref="E265:G265"/>
    <mergeCell ref="H265:J265"/>
    <mergeCell ref="E267:G267"/>
    <mergeCell ref="H267:J267"/>
    <mergeCell ref="A231:A232"/>
    <mergeCell ref="H234:J234"/>
    <mergeCell ref="E247:G247"/>
    <mergeCell ref="E231:G232"/>
    <mergeCell ref="C231:C232"/>
    <mergeCell ref="H232:J232"/>
    <mergeCell ref="C227:D227"/>
    <mergeCell ref="E227:F227"/>
    <mergeCell ref="G227:I227"/>
    <mergeCell ref="J227:L227"/>
    <mergeCell ref="E235:G235"/>
    <mergeCell ref="H235:J235"/>
    <mergeCell ref="K235:M235"/>
    <mergeCell ref="H237:J237"/>
    <mergeCell ref="E237:G237"/>
    <mergeCell ref="K237:M237"/>
    <mergeCell ref="K233:M233"/>
    <mergeCell ref="H247:J247"/>
    <mergeCell ref="E233:G233"/>
    <mergeCell ref="H233:J233"/>
    <mergeCell ref="H246:J246"/>
    <mergeCell ref="K246:M246"/>
    <mergeCell ref="E246:G246"/>
    <mergeCell ref="E234:G234"/>
    <mergeCell ref="E238:G238"/>
    <mergeCell ref="H238:J238"/>
    <mergeCell ref="K238:M238"/>
    <mergeCell ref="E239:G239"/>
    <mergeCell ref="H239:J239"/>
    <mergeCell ref="K239:M239"/>
    <mergeCell ref="E240:G240"/>
    <mergeCell ref="H240:J240"/>
    <mergeCell ref="K240:M240"/>
    <mergeCell ref="E241:G241"/>
    <mergeCell ref="H241:J241"/>
    <mergeCell ref="K241:M241"/>
    <mergeCell ref="E242:G242"/>
    <mergeCell ref="H242:J242"/>
    <mergeCell ref="K242:M242"/>
    <mergeCell ref="E243:G243"/>
    <mergeCell ref="H243:J243"/>
    <mergeCell ref="K243:M243"/>
    <mergeCell ref="E244:G244"/>
    <mergeCell ref="H244:J244"/>
    <mergeCell ref="K244:M244"/>
    <mergeCell ref="H245:J245"/>
    <mergeCell ref="K245:M245"/>
    <mergeCell ref="E280:F280"/>
    <mergeCell ref="E281:F281"/>
    <mergeCell ref="E278:F278"/>
    <mergeCell ref="E279:F279"/>
    <mergeCell ref="E275:F277"/>
    <mergeCell ref="E252:G252"/>
    <mergeCell ref="K252:M252"/>
    <mergeCell ref="H248:J248"/>
    <mergeCell ref="K248:M248"/>
    <mergeCell ref="H250:J250"/>
    <mergeCell ref="K270:M270"/>
    <mergeCell ref="K269:M269"/>
    <mergeCell ref="K253:M253"/>
    <mergeCell ref="A274:M274"/>
    <mergeCell ref="A275:A277"/>
    <mergeCell ref="B275:B277"/>
    <mergeCell ref="C275:C277"/>
    <mergeCell ref="D275:D277"/>
    <mergeCell ref="G275:G277"/>
    <mergeCell ref="K258:M258"/>
    <mergeCell ref="K257:M257"/>
    <mergeCell ref="E248:G248"/>
    <mergeCell ref="A270:B270"/>
    <mergeCell ref="E270:G270"/>
    <mergeCell ref="H270:J270"/>
    <mergeCell ref="H131:J131"/>
    <mergeCell ref="A133:M133"/>
    <mergeCell ref="K97:M97"/>
    <mergeCell ref="K126:M126"/>
    <mergeCell ref="H127:J127"/>
    <mergeCell ref="K127:M127"/>
    <mergeCell ref="A118:M118"/>
    <mergeCell ref="A123:A124"/>
    <mergeCell ref="K124:M124"/>
    <mergeCell ref="D123:D124"/>
    <mergeCell ref="G123:G124"/>
    <mergeCell ref="A116:B116"/>
    <mergeCell ref="E97:G97"/>
    <mergeCell ref="E128:F128"/>
    <mergeCell ref="H105:J105"/>
    <mergeCell ref="E98:G98"/>
    <mergeCell ref="K116:M116"/>
    <mergeCell ref="K107:M107"/>
    <mergeCell ref="K99:M99"/>
    <mergeCell ref="E116:G116"/>
    <mergeCell ref="B123:B124"/>
    <mergeCell ref="E262:G262"/>
    <mergeCell ref="H262:J262"/>
    <mergeCell ref="K262:M262"/>
    <mergeCell ref="K259:M259"/>
    <mergeCell ref="H249:J249"/>
    <mergeCell ref="K254:M254"/>
    <mergeCell ref="K249:M249"/>
    <mergeCell ref="H251:J251"/>
    <mergeCell ref="H260:J260"/>
    <mergeCell ref="K260:M260"/>
    <mergeCell ref="E261:G261"/>
    <mergeCell ref="H261:J261"/>
    <mergeCell ref="K261:M261"/>
    <mergeCell ref="H252:J252"/>
    <mergeCell ref="E251:G251"/>
    <mergeCell ref="K251:M251"/>
    <mergeCell ref="K256:M256"/>
    <mergeCell ref="K255:M255"/>
    <mergeCell ref="K250:M250"/>
    <mergeCell ref="E249:G249"/>
    <mergeCell ref="K172:M172"/>
    <mergeCell ref="K232:M232"/>
    <mergeCell ref="K115:M115"/>
    <mergeCell ref="E114:G114"/>
    <mergeCell ref="E209:G209"/>
    <mergeCell ref="H209:J209"/>
    <mergeCell ref="K209:M209"/>
    <mergeCell ref="E217:G217"/>
    <mergeCell ref="E178:G178"/>
    <mergeCell ref="H178:J178"/>
    <mergeCell ref="K178:M178"/>
    <mergeCell ref="K208:M208"/>
    <mergeCell ref="H126:J126"/>
    <mergeCell ref="E129:F129"/>
    <mergeCell ref="H129:J129"/>
    <mergeCell ref="H138:J138"/>
    <mergeCell ref="K138:M138"/>
    <mergeCell ref="H135:M135"/>
    <mergeCell ref="J226:L226"/>
    <mergeCell ref="H219:J219"/>
    <mergeCell ref="K219:M219"/>
    <mergeCell ref="E219:G219"/>
    <mergeCell ref="A221:L221"/>
    <mergeCell ref="A223:A224"/>
    <mergeCell ref="B223:B224"/>
    <mergeCell ref="E245:G245"/>
    <mergeCell ref="A107:B107"/>
    <mergeCell ref="B143:B145"/>
    <mergeCell ref="A135:A136"/>
    <mergeCell ref="H136:J136"/>
    <mergeCell ref="K136:M136"/>
    <mergeCell ref="A139:B139"/>
    <mergeCell ref="E146:F146"/>
    <mergeCell ref="D143:D145"/>
    <mergeCell ref="E135:G136"/>
    <mergeCell ref="C143:C145"/>
    <mergeCell ref="E139:G139"/>
    <mergeCell ref="E137:G137"/>
    <mergeCell ref="E143:F145"/>
    <mergeCell ref="D135:D136"/>
    <mergeCell ref="C135:C136"/>
    <mergeCell ref="B135:B136"/>
    <mergeCell ref="C225:D225"/>
    <mergeCell ref="E225:F225"/>
    <mergeCell ref="G225:I225"/>
    <mergeCell ref="J225:L225"/>
    <mergeCell ref="C226:D226"/>
    <mergeCell ref="E226:F226"/>
    <mergeCell ref="G226:I226"/>
    <mergeCell ref="A215:A216"/>
    <mergeCell ref="E218:G218"/>
    <mergeCell ref="K211:M211"/>
    <mergeCell ref="A181:B181"/>
    <mergeCell ref="K198:M198"/>
    <mergeCell ref="K200:M200"/>
    <mergeCell ref="H190:J190"/>
    <mergeCell ref="E197:G197"/>
    <mergeCell ref="E199:G199"/>
    <mergeCell ref="E198:G198"/>
    <mergeCell ref="H199:J199"/>
    <mergeCell ref="C206:D206"/>
    <mergeCell ref="E206:G206"/>
    <mergeCell ref="H206:J206"/>
    <mergeCell ref="H203:J203"/>
    <mergeCell ref="C208:D208"/>
    <mergeCell ref="E208:G208"/>
    <mergeCell ref="H208:J208"/>
    <mergeCell ref="D215:D216"/>
    <mergeCell ref="H185:M185"/>
    <mergeCell ref="E187:G187"/>
    <mergeCell ref="A183:M183"/>
    <mergeCell ref="K186:M186"/>
    <mergeCell ref="H186:J186"/>
    <mergeCell ref="C215:C216"/>
    <mergeCell ref="C205:D205"/>
    <mergeCell ref="E205:G205"/>
    <mergeCell ref="H205:J205"/>
    <mergeCell ref="H216:J216"/>
    <mergeCell ref="C223:D224"/>
    <mergeCell ref="E223:F224"/>
    <mergeCell ref="G223:L223"/>
    <mergeCell ref="G224:I224"/>
    <mergeCell ref="J224:L224"/>
  </mergeCells>
  <pageMargins left="0.39370078740157483" right="0.23622047244094491" top="0.59055118110236227" bottom="0.19685039370078741" header="0.19685039370078741" footer="0.11811023622047245"/>
  <pageSetup paperSize="9" scale="69" orientation="portrait" r:id="rId1"/>
  <headerFooter>
    <oddHeader>&amp;CПриносящая доход деятельность</oddHeader>
  </headerFooter>
  <rowBreaks count="1" manualBreakCount="1">
    <brk id="22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22"/>
  <sheetViews>
    <sheetView tabSelected="1" showWhiteSpace="0" view="pageBreakPreview" topLeftCell="A166" zoomScale="85" zoomScaleNormal="100" zoomScaleSheetLayoutView="85" zoomScalePageLayoutView="85" workbookViewId="0">
      <selection activeCell="E109" sqref="E109"/>
    </sheetView>
  </sheetViews>
  <sheetFormatPr defaultColWidth="9.140625" defaultRowHeight="21.6" customHeight="1" x14ac:dyDescent="0.25"/>
  <cols>
    <col min="1" max="1" width="2.85546875" customWidth="1"/>
    <col min="2" max="2" width="39.28515625" customWidth="1"/>
    <col min="3" max="3" width="11.42578125" customWidth="1"/>
    <col min="4" max="4" width="14.42578125" customWidth="1"/>
    <col min="5" max="5" width="14.28515625" customWidth="1"/>
    <col min="6" max="6" width="10" customWidth="1"/>
    <col min="7" max="7" width="5.85546875" customWidth="1"/>
    <col min="8" max="8" width="5.140625" customWidth="1"/>
    <col min="9" max="9" width="5" customWidth="1"/>
    <col min="10" max="10" width="5.85546875" customWidth="1"/>
    <col min="11" max="11" width="4.85546875" customWidth="1"/>
    <col min="12" max="12" width="6" customWidth="1"/>
    <col min="13" max="13" width="11.42578125" bestFit="1" customWidth="1"/>
    <col min="14" max="14" width="12.42578125" bestFit="1" customWidth="1"/>
    <col min="15" max="15" width="11.85546875" customWidth="1"/>
    <col min="16" max="16" width="11.42578125" bestFit="1" customWidth="1"/>
    <col min="18" max="18" width="11.42578125" bestFit="1" customWidth="1"/>
  </cols>
  <sheetData>
    <row r="1" spans="1:12" ht="21.6" customHeight="1" x14ac:dyDescent="0.25">
      <c r="A1" s="302" t="s">
        <v>207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ht="21.6" customHeight="1" x14ac:dyDescent="0.25">
      <c r="A2" s="174" t="s">
        <v>208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1.6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1.6" customHeight="1" x14ac:dyDescent="0.25">
      <c r="A4" s="39" t="s">
        <v>114</v>
      </c>
      <c r="B4" s="40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21.6" customHeight="1" x14ac:dyDescent="0.25">
      <c r="A5" s="4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21.6" customHeight="1" x14ac:dyDescent="0.25">
      <c r="A6" s="305" t="s">
        <v>5</v>
      </c>
      <c r="B6" s="188" t="s">
        <v>6</v>
      </c>
      <c r="C6" s="188" t="s">
        <v>92</v>
      </c>
      <c r="D6" s="188" t="s">
        <v>7</v>
      </c>
      <c r="E6" s="188" t="s">
        <v>93</v>
      </c>
      <c r="F6" s="188" t="s">
        <v>9</v>
      </c>
      <c r="G6" s="179" t="s">
        <v>118</v>
      </c>
      <c r="H6" s="228"/>
      <c r="I6" s="228"/>
      <c r="J6" s="228"/>
      <c r="K6" s="228"/>
      <c r="L6" s="228"/>
    </row>
    <row r="7" spans="1:12" ht="21.6" customHeight="1" x14ac:dyDescent="0.25">
      <c r="A7" s="297"/>
      <c r="B7" s="192"/>
      <c r="C7" s="192"/>
      <c r="D7" s="192"/>
      <c r="E7" s="192"/>
      <c r="F7" s="192"/>
      <c r="G7" s="214" t="s">
        <v>253</v>
      </c>
      <c r="H7" s="215"/>
      <c r="I7" s="216"/>
      <c r="J7" s="214" t="s">
        <v>254</v>
      </c>
      <c r="K7" s="215"/>
      <c r="L7" s="216"/>
    </row>
    <row r="8" spans="1:12" ht="21.6" customHeight="1" x14ac:dyDescent="0.2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207">
        <v>7</v>
      </c>
      <c r="H8" s="283"/>
      <c r="I8" s="284"/>
      <c r="J8" s="207">
        <v>8</v>
      </c>
      <c r="K8" s="283"/>
      <c r="L8" s="284"/>
    </row>
    <row r="9" spans="1:12" ht="21.6" customHeight="1" x14ac:dyDescent="0.25">
      <c r="A9" s="11">
        <v>1</v>
      </c>
      <c r="B9" s="43" t="s">
        <v>312</v>
      </c>
      <c r="C9" s="44">
        <f>F9/D9</f>
        <v>0</v>
      </c>
      <c r="D9" s="11">
        <v>3</v>
      </c>
      <c r="E9" s="11">
        <v>0</v>
      </c>
      <c r="F9" s="44">
        <v>0</v>
      </c>
      <c r="G9" s="272">
        <v>26895</v>
      </c>
      <c r="H9" s="273"/>
      <c r="I9" s="274"/>
      <c r="J9" s="272">
        <f>F9</f>
        <v>0</v>
      </c>
      <c r="K9" s="273"/>
      <c r="L9" s="274"/>
    </row>
    <row r="10" spans="1:12" ht="21.6" customHeight="1" x14ac:dyDescent="0.25">
      <c r="A10" s="214" t="s">
        <v>12</v>
      </c>
      <c r="B10" s="223"/>
      <c r="C10" s="11" t="s">
        <v>13</v>
      </c>
      <c r="D10" s="11" t="s">
        <v>13</v>
      </c>
      <c r="E10" s="11" t="s">
        <v>13</v>
      </c>
      <c r="F10" s="45">
        <f>SUM(F9:F9)</f>
        <v>0</v>
      </c>
      <c r="G10" s="235">
        <f>SUM(G9:I9)</f>
        <v>26895</v>
      </c>
      <c r="H10" s="273"/>
      <c r="I10" s="274"/>
      <c r="J10" s="235">
        <f>F10</f>
        <v>0</v>
      </c>
      <c r="K10" s="276"/>
      <c r="L10" s="277"/>
    </row>
    <row r="11" spans="1:12" ht="21.6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21.6" customHeight="1" x14ac:dyDescent="0.25">
      <c r="A12" s="172" t="s">
        <v>179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</row>
    <row r="13" spans="1:12" ht="21.6" customHeight="1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21.6" customHeight="1" x14ac:dyDescent="0.25">
      <c r="A14" s="188" t="s">
        <v>5</v>
      </c>
      <c r="B14" s="188" t="s">
        <v>6</v>
      </c>
      <c r="C14" s="188" t="s">
        <v>258</v>
      </c>
      <c r="D14" s="188" t="s">
        <v>246</v>
      </c>
      <c r="E14" s="188" t="s">
        <v>93</v>
      </c>
      <c r="F14" s="188" t="s">
        <v>9</v>
      </c>
      <c r="G14" s="179" t="s">
        <v>118</v>
      </c>
      <c r="H14" s="228"/>
      <c r="I14" s="228"/>
      <c r="J14" s="228"/>
      <c r="K14" s="228"/>
      <c r="L14" s="228"/>
    </row>
    <row r="15" spans="1:12" ht="21.6" customHeight="1" x14ac:dyDescent="0.25">
      <c r="A15" s="192"/>
      <c r="B15" s="192"/>
      <c r="C15" s="192"/>
      <c r="D15" s="192"/>
      <c r="E15" s="192"/>
      <c r="F15" s="192"/>
      <c r="G15" s="214" t="s">
        <v>253</v>
      </c>
      <c r="H15" s="215"/>
      <c r="I15" s="216"/>
      <c r="J15" s="214" t="s">
        <v>254</v>
      </c>
      <c r="K15" s="215"/>
      <c r="L15" s="216"/>
    </row>
    <row r="16" spans="1:12" s="48" customFormat="1" ht="21.6" customHeight="1" x14ac:dyDescent="0.15">
      <c r="A16" s="47">
        <v>1</v>
      </c>
      <c r="B16" s="47">
        <v>2</v>
      </c>
      <c r="C16" s="47">
        <v>3</v>
      </c>
      <c r="D16" s="47">
        <v>4</v>
      </c>
      <c r="E16" s="47">
        <v>5</v>
      </c>
      <c r="F16" s="47">
        <v>6</v>
      </c>
      <c r="G16" s="257">
        <v>7</v>
      </c>
      <c r="H16" s="258"/>
      <c r="I16" s="259"/>
      <c r="J16" s="257">
        <v>8</v>
      </c>
      <c r="K16" s="258"/>
      <c r="L16" s="259"/>
    </row>
    <row r="17" spans="1:18" ht="21.6" customHeight="1" x14ac:dyDescent="0.25">
      <c r="A17" s="11">
        <v>1</v>
      </c>
      <c r="B17" s="43"/>
      <c r="C17" s="11"/>
      <c r="D17" s="11"/>
      <c r="E17" s="11"/>
      <c r="F17" s="44">
        <v>0</v>
      </c>
      <c r="G17" s="272">
        <v>0</v>
      </c>
      <c r="H17" s="273"/>
      <c r="I17" s="274"/>
      <c r="J17" s="272">
        <f>F17</f>
        <v>0</v>
      </c>
      <c r="K17" s="273"/>
      <c r="L17" s="274"/>
    </row>
    <row r="18" spans="1:18" ht="21.6" customHeight="1" x14ac:dyDescent="0.25">
      <c r="A18" s="214" t="s">
        <v>12</v>
      </c>
      <c r="B18" s="223"/>
      <c r="C18" s="11" t="s">
        <v>13</v>
      </c>
      <c r="D18" s="11" t="s">
        <v>13</v>
      </c>
      <c r="E18" s="11" t="s">
        <v>13</v>
      </c>
      <c r="F18" s="45">
        <f>SUM(F17:F17)</f>
        <v>0</v>
      </c>
      <c r="G18" s="235">
        <v>0</v>
      </c>
      <c r="H18" s="318"/>
      <c r="I18" s="319"/>
      <c r="J18" s="235">
        <f>SUM(J17)</f>
        <v>0</v>
      </c>
      <c r="K18" s="318"/>
      <c r="L18" s="319"/>
    </row>
    <row r="19" spans="1:18" ht="21.6" customHeight="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8" ht="21.6" customHeight="1" x14ac:dyDescent="0.25">
      <c r="A20" s="172" t="s">
        <v>180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1:18" ht="21.6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8" ht="21.6" customHeight="1" x14ac:dyDescent="0.25">
      <c r="A22" s="188" t="s">
        <v>5</v>
      </c>
      <c r="B22" s="188" t="s">
        <v>6</v>
      </c>
      <c r="C22" s="188" t="s">
        <v>10</v>
      </c>
      <c r="D22" s="188" t="s">
        <v>11</v>
      </c>
      <c r="E22" s="188" t="s">
        <v>156</v>
      </c>
      <c r="F22" s="188" t="s">
        <v>9</v>
      </c>
      <c r="G22" s="179" t="s">
        <v>118</v>
      </c>
      <c r="H22" s="228"/>
      <c r="I22" s="228"/>
      <c r="J22" s="228"/>
      <c r="K22" s="228"/>
      <c r="L22" s="228"/>
    </row>
    <row r="23" spans="1:18" ht="31.9" customHeight="1" x14ac:dyDescent="0.25">
      <c r="A23" s="192"/>
      <c r="B23" s="192"/>
      <c r="C23" s="192"/>
      <c r="D23" s="192"/>
      <c r="E23" s="192"/>
      <c r="F23" s="192"/>
      <c r="G23" s="214" t="s">
        <v>253</v>
      </c>
      <c r="H23" s="215"/>
      <c r="I23" s="216"/>
      <c r="J23" s="214" t="s">
        <v>254</v>
      </c>
      <c r="K23" s="215"/>
      <c r="L23" s="216"/>
    </row>
    <row r="24" spans="1:18" s="48" customFormat="1" ht="12.6" customHeight="1" x14ac:dyDescent="0.15">
      <c r="A24" s="47">
        <v>1</v>
      </c>
      <c r="B24" s="47">
        <v>2</v>
      </c>
      <c r="C24" s="47">
        <v>3</v>
      </c>
      <c r="D24" s="47">
        <v>4</v>
      </c>
      <c r="E24" s="47">
        <v>5</v>
      </c>
      <c r="F24" s="47">
        <v>6</v>
      </c>
      <c r="G24" s="257">
        <v>7</v>
      </c>
      <c r="H24" s="258"/>
      <c r="I24" s="259"/>
      <c r="J24" s="257">
        <v>8</v>
      </c>
      <c r="K24" s="258"/>
      <c r="L24" s="259"/>
      <c r="R24" s="49">
        <f>G10+G48+G127+G137+G146+G149</f>
        <v>21928517.289999999</v>
      </c>
    </row>
    <row r="25" spans="1:18" ht="21.6" customHeight="1" x14ac:dyDescent="0.25">
      <c r="A25" s="50"/>
      <c r="B25" s="11"/>
      <c r="C25" s="11">
        <v>0</v>
      </c>
      <c r="D25" s="11">
        <v>0</v>
      </c>
      <c r="E25" s="11">
        <v>0</v>
      </c>
      <c r="F25" s="44">
        <v>0</v>
      </c>
      <c r="G25" s="272">
        <v>0</v>
      </c>
      <c r="H25" s="215"/>
      <c r="I25" s="216"/>
      <c r="J25" s="272">
        <v>0</v>
      </c>
      <c r="K25" s="215"/>
      <c r="L25" s="216"/>
    </row>
    <row r="26" spans="1:18" ht="21.6" customHeight="1" x14ac:dyDescent="0.25">
      <c r="A26" s="214" t="s">
        <v>12</v>
      </c>
      <c r="B26" s="223"/>
      <c r="C26" s="11" t="s">
        <v>13</v>
      </c>
      <c r="D26" s="11" t="s">
        <v>13</v>
      </c>
      <c r="E26" s="11" t="s">
        <v>13</v>
      </c>
      <c r="F26" s="45">
        <f>SUM(F25:F25)</f>
        <v>0</v>
      </c>
      <c r="G26" s="235">
        <v>0</v>
      </c>
      <c r="H26" s="215"/>
      <c r="I26" s="216"/>
      <c r="J26" s="235">
        <v>0</v>
      </c>
      <c r="K26" s="215"/>
      <c r="L26" s="216"/>
    </row>
    <row r="27" spans="1:18" ht="21.6" customHeight="1" x14ac:dyDescent="0.25">
      <c r="A27" s="38"/>
      <c r="B27" s="38"/>
      <c r="C27" s="38"/>
      <c r="D27" s="38"/>
      <c r="E27" s="38"/>
      <c r="F27" s="51"/>
      <c r="G27" s="51"/>
      <c r="H27" s="4"/>
      <c r="I27" s="4"/>
      <c r="J27" s="51"/>
      <c r="K27" s="4"/>
      <c r="L27" s="4"/>
    </row>
    <row r="28" spans="1:18" ht="21.6" customHeight="1" x14ac:dyDescent="0.25">
      <c r="A28" s="52" t="s">
        <v>103</v>
      </c>
      <c r="B28" s="38"/>
      <c r="C28" s="38"/>
      <c r="D28" s="38"/>
      <c r="E28" s="38"/>
      <c r="F28" s="51"/>
      <c r="G28" s="51"/>
      <c r="H28" s="4"/>
      <c r="I28" s="4"/>
      <c r="J28" s="51"/>
      <c r="K28" s="4"/>
      <c r="L28" s="4"/>
    </row>
    <row r="29" spans="1:18" ht="21.6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8" ht="21.6" customHeight="1" x14ac:dyDescent="0.25">
      <c r="A30" s="172" t="s">
        <v>181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</row>
    <row r="31" spans="1:18" ht="21.6" customHeigh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8" ht="21.6" customHeight="1" x14ac:dyDescent="0.25">
      <c r="A32" s="188" t="s">
        <v>5</v>
      </c>
      <c r="B32" s="262" t="s">
        <v>182</v>
      </c>
      <c r="C32" s="263"/>
      <c r="D32" s="264"/>
      <c r="E32" s="188" t="s">
        <v>251</v>
      </c>
      <c r="F32" s="188" t="s">
        <v>252</v>
      </c>
      <c r="G32" s="179" t="s">
        <v>118</v>
      </c>
      <c r="H32" s="228"/>
      <c r="I32" s="228"/>
      <c r="J32" s="228"/>
      <c r="K32" s="228"/>
      <c r="L32" s="228"/>
    </row>
    <row r="33" spans="1:12" ht="21.6" customHeight="1" x14ac:dyDescent="0.25">
      <c r="A33" s="192"/>
      <c r="B33" s="265"/>
      <c r="C33" s="266"/>
      <c r="D33" s="267"/>
      <c r="E33" s="192"/>
      <c r="F33" s="192"/>
      <c r="G33" s="214" t="s">
        <v>253</v>
      </c>
      <c r="H33" s="215"/>
      <c r="I33" s="216"/>
      <c r="J33" s="214" t="s">
        <v>254</v>
      </c>
      <c r="K33" s="215"/>
      <c r="L33" s="216"/>
    </row>
    <row r="34" spans="1:12" s="48" customFormat="1" ht="21.6" customHeight="1" x14ac:dyDescent="0.2">
      <c r="A34" s="53">
        <v>1</v>
      </c>
      <c r="B34" s="253">
        <v>2</v>
      </c>
      <c r="C34" s="260"/>
      <c r="D34" s="261"/>
      <c r="E34" s="54">
        <v>3</v>
      </c>
      <c r="F34" s="54">
        <v>4</v>
      </c>
      <c r="G34" s="268">
        <v>5</v>
      </c>
      <c r="H34" s="269"/>
      <c r="I34" s="270"/>
      <c r="J34" s="268">
        <v>6</v>
      </c>
      <c r="K34" s="269"/>
      <c r="L34" s="270"/>
    </row>
    <row r="35" spans="1:12" ht="21.6" customHeight="1" x14ac:dyDescent="0.25">
      <c r="A35" s="55">
        <v>1</v>
      </c>
      <c r="B35" s="245" t="s">
        <v>183</v>
      </c>
      <c r="C35" s="246"/>
      <c r="D35" s="247"/>
      <c r="E35" s="56" t="s">
        <v>13</v>
      </c>
      <c r="F35" s="56">
        <f>F37+F38+F39</f>
        <v>0</v>
      </c>
      <c r="G35" s="204">
        <f>G37</f>
        <v>5916.9</v>
      </c>
      <c r="H35" s="217"/>
      <c r="I35" s="213"/>
      <c r="J35" s="204">
        <f>F35</f>
        <v>0</v>
      </c>
      <c r="K35" s="221"/>
      <c r="L35" s="222"/>
    </row>
    <row r="36" spans="1:12" ht="21.6" customHeight="1" x14ac:dyDescent="0.25">
      <c r="A36" s="55"/>
      <c r="B36" s="248" t="s">
        <v>3</v>
      </c>
      <c r="C36" s="249"/>
      <c r="D36" s="250"/>
      <c r="E36" s="56"/>
      <c r="F36" s="56"/>
      <c r="G36" s="204"/>
      <c r="H36" s="221"/>
      <c r="I36" s="222"/>
      <c r="J36" s="204"/>
      <c r="K36" s="221"/>
      <c r="L36" s="222"/>
    </row>
    <row r="37" spans="1:12" ht="21.6" customHeight="1" x14ac:dyDescent="0.25">
      <c r="A37" s="55" t="s">
        <v>16</v>
      </c>
      <c r="B37" s="248" t="s">
        <v>26</v>
      </c>
      <c r="C37" s="249"/>
      <c r="D37" s="250"/>
      <c r="E37" s="57">
        <v>0</v>
      </c>
      <c r="F37" s="56">
        <f>E37*22%</f>
        <v>0</v>
      </c>
      <c r="G37" s="204">
        <f>26895*22%</f>
        <v>5916.9</v>
      </c>
      <c r="H37" s="221"/>
      <c r="I37" s="222"/>
      <c r="J37" s="204">
        <f>F37</f>
        <v>0</v>
      </c>
      <c r="K37" s="221"/>
      <c r="L37" s="222"/>
    </row>
    <row r="38" spans="1:12" ht="21.6" customHeight="1" x14ac:dyDescent="0.25">
      <c r="A38" s="55" t="s">
        <v>17</v>
      </c>
      <c r="B38" s="248" t="s">
        <v>27</v>
      </c>
      <c r="C38" s="249"/>
      <c r="D38" s="250"/>
      <c r="E38" s="57">
        <v>0</v>
      </c>
      <c r="F38" s="56">
        <v>0</v>
      </c>
      <c r="G38" s="204">
        <v>0</v>
      </c>
      <c r="H38" s="221"/>
      <c r="I38" s="222"/>
      <c r="J38" s="204">
        <v>0</v>
      </c>
      <c r="K38" s="221"/>
      <c r="L38" s="222"/>
    </row>
    <row r="39" spans="1:12" ht="21.6" customHeight="1" x14ac:dyDescent="0.25">
      <c r="A39" s="55" t="s">
        <v>18</v>
      </c>
      <c r="B39" s="245" t="s">
        <v>185</v>
      </c>
      <c r="C39" s="246"/>
      <c r="D39" s="247"/>
      <c r="E39" s="57">
        <v>0</v>
      </c>
      <c r="F39" s="56">
        <v>0</v>
      </c>
      <c r="G39" s="204">
        <v>0</v>
      </c>
      <c r="H39" s="221"/>
      <c r="I39" s="222"/>
      <c r="J39" s="204">
        <v>0</v>
      </c>
      <c r="K39" s="221"/>
      <c r="L39" s="222"/>
    </row>
    <row r="40" spans="1:12" ht="21.6" customHeight="1" x14ac:dyDescent="0.25">
      <c r="A40" s="55" t="s">
        <v>19</v>
      </c>
      <c r="B40" s="245" t="s">
        <v>184</v>
      </c>
      <c r="C40" s="246"/>
      <c r="D40" s="247"/>
      <c r="E40" s="57" t="s">
        <v>13</v>
      </c>
      <c r="F40" s="56">
        <f>F42+F43+F44+F45+F46</f>
        <v>0</v>
      </c>
      <c r="G40" s="204">
        <f>G42+G43+G44+G45+G46</f>
        <v>833.74</v>
      </c>
      <c r="H40" s="221"/>
      <c r="I40" s="222"/>
      <c r="J40" s="204">
        <f>F40</f>
        <v>0</v>
      </c>
      <c r="K40" s="221"/>
      <c r="L40" s="222"/>
    </row>
    <row r="41" spans="1:12" ht="21.6" customHeight="1" x14ac:dyDescent="0.25">
      <c r="A41" s="55"/>
      <c r="B41" s="248" t="s">
        <v>3</v>
      </c>
      <c r="C41" s="249"/>
      <c r="D41" s="250"/>
      <c r="E41" s="57"/>
      <c r="F41" s="56"/>
      <c r="G41" s="204"/>
      <c r="H41" s="221"/>
      <c r="I41" s="222"/>
      <c r="J41" s="204"/>
      <c r="K41" s="221"/>
      <c r="L41" s="222"/>
    </row>
    <row r="42" spans="1:12" ht="21.6" customHeight="1" x14ac:dyDescent="0.25">
      <c r="A42" s="55" t="s">
        <v>20</v>
      </c>
      <c r="B42" s="245" t="s">
        <v>28</v>
      </c>
      <c r="C42" s="246"/>
      <c r="D42" s="247"/>
      <c r="E42" s="57">
        <f>E37</f>
        <v>0</v>
      </c>
      <c r="F42" s="56">
        <f>E42*2.9%</f>
        <v>0</v>
      </c>
      <c r="G42" s="204">
        <f>26895*2.9%-0.01</f>
        <v>779.95</v>
      </c>
      <c r="H42" s="217"/>
      <c r="I42" s="213"/>
      <c r="J42" s="204">
        <f>F42</f>
        <v>0</v>
      </c>
      <c r="K42" s="221"/>
      <c r="L42" s="222"/>
    </row>
    <row r="43" spans="1:12" ht="21.6" customHeight="1" x14ac:dyDescent="0.25">
      <c r="A43" s="55" t="s">
        <v>21</v>
      </c>
      <c r="B43" s="245" t="s">
        <v>186</v>
      </c>
      <c r="C43" s="246"/>
      <c r="D43" s="247"/>
      <c r="E43" s="57">
        <v>0</v>
      </c>
      <c r="F43" s="56">
        <v>0</v>
      </c>
      <c r="G43" s="204">
        <v>0</v>
      </c>
      <c r="H43" s="221"/>
      <c r="I43" s="222"/>
      <c r="J43" s="204">
        <f t="shared" ref="J43:J47" si="0">F43</f>
        <v>0</v>
      </c>
      <c r="K43" s="221"/>
      <c r="L43" s="222"/>
    </row>
    <row r="44" spans="1:12" ht="21.6" customHeight="1" x14ac:dyDescent="0.25">
      <c r="A44" s="55" t="s">
        <v>22</v>
      </c>
      <c r="B44" s="245" t="s">
        <v>29</v>
      </c>
      <c r="C44" s="246"/>
      <c r="D44" s="247"/>
      <c r="E44" s="57">
        <f>E37</f>
        <v>0</v>
      </c>
      <c r="F44" s="56">
        <f>E44*0.2%</f>
        <v>0</v>
      </c>
      <c r="G44" s="204">
        <f>26895*0.2%</f>
        <v>53.79</v>
      </c>
      <c r="H44" s="221"/>
      <c r="I44" s="222"/>
      <c r="J44" s="204">
        <f t="shared" si="0"/>
        <v>0</v>
      </c>
      <c r="K44" s="221"/>
      <c r="L44" s="222"/>
    </row>
    <row r="45" spans="1:12" ht="21.6" customHeight="1" x14ac:dyDescent="0.25">
      <c r="A45" s="55" t="s">
        <v>23</v>
      </c>
      <c r="B45" s="245" t="s">
        <v>30</v>
      </c>
      <c r="C45" s="246"/>
      <c r="D45" s="247"/>
      <c r="E45" s="57">
        <v>0</v>
      </c>
      <c r="F45" s="56">
        <v>0</v>
      </c>
      <c r="G45" s="204">
        <v>0</v>
      </c>
      <c r="H45" s="221"/>
      <c r="I45" s="222"/>
      <c r="J45" s="204">
        <f t="shared" si="0"/>
        <v>0</v>
      </c>
      <c r="K45" s="221"/>
      <c r="L45" s="222"/>
    </row>
    <row r="46" spans="1:12" ht="21.6" customHeight="1" x14ac:dyDescent="0.25">
      <c r="A46" s="55" t="s">
        <v>24</v>
      </c>
      <c r="B46" s="245" t="s">
        <v>30</v>
      </c>
      <c r="C46" s="246"/>
      <c r="D46" s="247"/>
      <c r="E46" s="57">
        <v>0</v>
      </c>
      <c r="F46" s="56">
        <v>0</v>
      </c>
      <c r="G46" s="204">
        <v>0</v>
      </c>
      <c r="H46" s="221"/>
      <c r="I46" s="222"/>
      <c r="J46" s="204">
        <f t="shared" si="0"/>
        <v>0</v>
      </c>
      <c r="K46" s="221"/>
      <c r="L46" s="222"/>
    </row>
    <row r="47" spans="1:12" ht="21.6" customHeight="1" x14ac:dyDescent="0.25">
      <c r="A47" s="55" t="s">
        <v>25</v>
      </c>
      <c r="B47" s="245" t="s">
        <v>187</v>
      </c>
      <c r="C47" s="246"/>
      <c r="D47" s="247"/>
      <c r="E47" s="57">
        <f>E37</f>
        <v>0</v>
      </c>
      <c r="F47" s="56">
        <f>E47*5.1%</f>
        <v>0</v>
      </c>
      <c r="G47" s="204">
        <f>26895*5.1%</f>
        <v>1371.65</v>
      </c>
      <c r="H47" s="221"/>
      <c r="I47" s="222"/>
      <c r="J47" s="204">
        <f t="shared" si="0"/>
        <v>0</v>
      </c>
      <c r="K47" s="221"/>
      <c r="L47" s="222"/>
    </row>
    <row r="48" spans="1:12" ht="21.6" customHeight="1" x14ac:dyDescent="0.25">
      <c r="A48" s="209" t="s">
        <v>4</v>
      </c>
      <c r="B48" s="251"/>
      <c r="C48" s="251"/>
      <c r="D48" s="252"/>
      <c r="E48" s="56" t="s">
        <v>13</v>
      </c>
      <c r="F48" s="58">
        <f>F37+F40+F47</f>
        <v>0</v>
      </c>
      <c r="G48" s="280">
        <f>G37+G40+G47</f>
        <v>8122.29</v>
      </c>
      <c r="H48" s="221"/>
      <c r="I48" s="222"/>
      <c r="J48" s="280">
        <f>F48</f>
        <v>0</v>
      </c>
      <c r="K48" s="221"/>
      <c r="L48" s="222"/>
    </row>
    <row r="49" spans="1:12" ht="21.6" customHeight="1" x14ac:dyDescent="0.25">
      <c r="A49" s="5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21.6" customHeight="1" x14ac:dyDescent="0.25">
      <c r="A50" s="238" t="s">
        <v>188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1:12" ht="21.6" customHeight="1" x14ac:dyDescent="0.25">
      <c r="A51" s="59" t="s">
        <v>39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21.6" customHeight="1" x14ac:dyDescent="0.25">
      <c r="A52" s="5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21.6" customHeight="1" x14ac:dyDescent="0.25">
      <c r="A53" s="203" t="s">
        <v>5</v>
      </c>
      <c r="B53" s="188" t="s">
        <v>31</v>
      </c>
      <c r="C53" s="188" t="s">
        <v>257</v>
      </c>
      <c r="D53" s="188" t="s">
        <v>32</v>
      </c>
      <c r="E53" s="180" t="s">
        <v>33</v>
      </c>
      <c r="F53" s="181"/>
      <c r="G53" s="179" t="s">
        <v>118</v>
      </c>
      <c r="H53" s="228"/>
      <c r="I53" s="228"/>
      <c r="J53" s="228"/>
      <c r="K53" s="228"/>
      <c r="L53" s="228"/>
    </row>
    <row r="54" spans="1:12" ht="21.6" customHeight="1" x14ac:dyDescent="0.25">
      <c r="A54" s="192"/>
      <c r="B54" s="192"/>
      <c r="C54" s="192"/>
      <c r="D54" s="192"/>
      <c r="E54" s="240"/>
      <c r="F54" s="241"/>
      <c r="G54" s="214" t="s">
        <v>253</v>
      </c>
      <c r="H54" s="215"/>
      <c r="I54" s="216"/>
      <c r="J54" s="214" t="s">
        <v>254</v>
      </c>
      <c r="K54" s="215"/>
      <c r="L54" s="216"/>
    </row>
    <row r="55" spans="1:12" s="48" customFormat="1" ht="21.6" customHeight="1" x14ac:dyDescent="0.15">
      <c r="A55" s="53" t="s">
        <v>34</v>
      </c>
      <c r="B55" s="16">
        <v>2</v>
      </c>
      <c r="C55" s="16">
        <v>3</v>
      </c>
      <c r="D55" s="16">
        <v>4</v>
      </c>
      <c r="E55" s="242">
        <v>5</v>
      </c>
      <c r="F55" s="242"/>
      <c r="G55" s="253">
        <v>6</v>
      </c>
      <c r="H55" s="254"/>
      <c r="I55" s="255"/>
      <c r="J55" s="253">
        <v>7</v>
      </c>
      <c r="K55" s="254"/>
      <c r="L55" s="255"/>
    </row>
    <row r="56" spans="1:12" ht="21.6" customHeight="1" x14ac:dyDescent="0.25">
      <c r="A56" s="60"/>
      <c r="B56" s="61"/>
      <c r="C56" s="61">
        <v>0</v>
      </c>
      <c r="D56" s="61">
        <v>0</v>
      </c>
      <c r="E56" s="239">
        <f>C56*D56</f>
        <v>0</v>
      </c>
      <c r="F56" s="239"/>
      <c r="G56" s="204">
        <v>0</v>
      </c>
      <c r="H56" s="221"/>
      <c r="I56" s="222"/>
      <c r="J56" s="204">
        <v>0</v>
      </c>
      <c r="K56" s="221"/>
      <c r="L56" s="222"/>
    </row>
    <row r="57" spans="1:12" ht="21.6" customHeight="1" x14ac:dyDescent="0.25">
      <c r="A57" s="243" t="s">
        <v>12</v>
      </c>
      <c r="B57" s="244"/>
      <c r="C57" s="62" t="s">
        <v>13</v>
      </c>
      <c r="D57" s="62" t="s">
        <v>13</v>
      </c>
      <c r="E57" s="239">
        <f>SUM(E56:F56)</f>
        <v>0</v>
      </c>
      <c r="F57" s="239"/>
      <c r="G57" s="211">
        <v>0</v>
      </c>
      <c r="H57" s="221"/>
      <c r="I57" s="222"/>
      <c r="J57" s="211">
        <v>0</v>
      </c>
      <c r="K57" s="221"/>
      <c r="L57" s="222"/>
    </row>
    <row r="58" spans="1:12" ht="21.6" customHeight="1" x14ac:dyDescent="0.25">
      <c r="A58" s="5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21.6" customHeight="1" x14ac:dyDescent="0.25">
      <c r="A59" s="238" t="s">
        <v>189</v>
      </c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</row>
    <row r="60" spans="1:12" ht="21.6" customHeight="1" x14ac:dyDescent="0.25">
      <c r="A60" s="59" t="s">
        <v>95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21.6" customHeight="1" x14ac:dyDescent="0.25">
      <c r="A61" s="5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21.6" customHeight="1" x14ac:dyDescent="0.25">
      <c r="A62" s="203" t="s">
        <v>5</v>
      </c>
      <c r="B62" s="188" t="s">
        <v>6</v>
      </c>
      <c r="C62" s="188" t="s">
        <v>35</v>
      </c>
      <c r="D62" s="188" t="s">
        <v>37</v>
      </c>
      <c r="E62" s="180" t="s">
        <v>38</v>
      </c>
      <c r="F62" s="181"/>
      <c r="G62" s="179" t="s">
        <v>118</v>
      </c>
      <c r="H62" s="228"/>
      <c r="I62" s="228"/>
      <c r="J62" s="228"/>
      <c r="K62" s="228"/>
      <c r="L62" s="228"/>
    </row>
    <row r="63" spans="1:12" ht="21.6" customHeight="1" x14ac:dyDescent="0.25">
      <c r="A63" s="192"/>
      <c r="B63" s="192"/>
      <c r="C63" s="192"/>
      <c r="D63" s="192"/>
      <c r="E63" s="240"/>
      <c r="F63" s="241"/>
      <c r="G63" s="214" t="s">
        <v>269</v>
      </c>
      <c r="H63" s="215"/>
      <c r="I63" s="216"/>
      <c r="J63" s="214" t="s">
        <v>272</v>
      </c>
      <c r="K63" s="215"/>
      <c r="L63" s="216"/>
    </row>
    <row r="64" spans="1:12" s="48" customFormat="1" ht="21.6" customHeight="1" x14ac:dyDescent="0.15">
      <c r="A64" s="53" t="s">
        <v>34</v>
      </c>
      <c r="B64" s="16">
        <v>2</v>
      </c>
      <c r="C64" s="16">
        <v>3</v>
      </c>
      <c r="D64" s="16">
        <v>4</v>
      </c>
      <c r="E64" s="242">
        <v>5</v>
      </c>
      <c r="F64" s="242"/>
      <c r="G64" s="282">
        <v>7</v>
      </c>
      <c r="H64" s="254"/>
      <c r="I64" s="255"/>
      <c r="J64" s="282">
        <v>8</v>
      </c>
      <c r="K64" s="254"/>
      <c r="L64" s="255"/>
    </row>
    <row r="65" spans="1:12" ht="21.6" customHeight="1" x14ac:dyDescent="0.25">
      <c r="A65" s="55"/>
      <c r="B65" s="63"/>
      <c r="C65" s="62">
        <v>0</v>
      </c>
      <c r="D65" s="56">
        <v>0</v>
      </c>
      <c r="E65" s="295">
        <v>0</v>
      </c>
      <c r="F65" s="295"/>
      <c r="G65" s="204">
        <v>0</v>
      </c>
      <c r="H65" s="221"/>
      <c r="I65" s="222"/>
      <c r="J65" s="204">
        <v>0</v>
      </c>
      <c r="K65" s="221"/>
      <c r="L65" s="222"/>
    </row>
    <row r="66" spans="1:12" ht="21.6" customHeight="1" x14ac:dyDescent="0.25">
      <c r="A66" s="243" t="s">
        <v>12</v>
      </c>
      <c r="B66" s="244"/>
      <c r="C66" s="56" t="s">
        <v>13</v>
      </c>
      <c r="D66" s="56" t="s">
        <v>13</v>
      </c>
      <c r="E66" s="279">
        <f>SUM(E65:F65)</f>
        <v>0</v>
      </c>
      <c r="F66" s="279"/>
      <c r="G66" s="211">
        <v>0</v>
      </c>
      <c r="H66" s="221"/>
      <c r="I66" s="222"/>
      <c r="J66" s="211">
        <v>0</v>
      </c>
      <c r="K66" s="221"/>
      <c r="L66" s="222"/>
    </row>
    <row r="67" spans="1:12" ht="21.6" customHeight="1" x14ac:dyDescent="0.25">
      <c r="A67" s="5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21.6" customHeight="1" x14ac:dyDescent="0.25">
      <c r="A68" s="238" t="s">
        <v>190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</row>
    <row r="69" spans="1:12" ht="21.6" customHeight="1" x14ac:dyDescent="0.25">
      <c r="A69" s="59" t="s">
        <v>39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21.6" customHeight="1" x14ac:dyDescent="0.25">
      <c r="A70" s="5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21.6" customHeight="1" x14ac:dyDescent="0.25">
      <c r="A71" s="203" t="s">
        <v>5</v>
      </c>
      <c r="B71" s="188" t="s">
        <v>31</v>
      </c>
      <c r="C71" s="188" t="s">
        <v>36</v>
      </c>
      <c r="D71" s="188" t="s">
        <v>32</v>
      </c>
      <c r="E71" s="180" t="s">
        <v>33</v>
      </c>
      <c r="F71" s="181"/>
      <c r="G71" s="179" t="s">
        <v>118</v>
      </c>
      <c r="H71" s="228"/>
      <c r="I71" s="228"/>
      <c r="J71" s="228"/>
      <c r="K71" s="228"/>
      <c r="L71" s="228"/>
    </row>
    <row r="72" spans="1:12" ht="21.6" customHeight="1" x14ac:dyDescent="0.25">
      <c r="A72" s="192"/>
      <c r="B72" s="192"/>
      <c r="C72" s="192"/>
      <c r="D72" s="192"/>
      <c r="E72" s="240"/>
      <c r="F72" s="241"/>
      <c r="G72" s="214" t="s">
        <v>253</v>
      </c>
      <c r="H72" s="215"/>
      <c r="I72" s="216"/>
      <c r="J72" s="214" t="s">
        <v>279</v>
      </c>
      <c r="K72" s="215"/>
      <c r="L72" s="216"/>
    </row>
    <row r="73" spans="1:12" s="48" customFormat="1" ht="21.6" customHeight="1" x14ac:dyDescent="0.15">
      <c r="A73" s="53" t="s">
        <v>34</v>
      </c>
      <c r="B73" s="16">
        <v>2</v>
      </c>
      <c r="C73" s="16">
        <v>3</v>
      </c>
      <c r="D73" s="16">
        <v>4</v>
      </c>
      <c r="E73" s="242">
        <v>5</v>
      </c>
      <c r="F73" s="242"/>
      <c r="G73" s="253">
        <v>6</v>
      </c>
      <c r="H73" s="254"/>
      <c r="I73" s="255"/>
      <c r="J73" s="253">
        <v>7</v>
      </c>
      <c r="K73" s="254"/>
      <c r="L73" s="255"/>
    </row>
    <row r="74" spans="1:12" ht="21.6" customHeight="1" x14ac:dyDescent="0.25">
      <c r="A74" s="60"/>
      <c r="B74" s="61"/>
      <c r="C74" s="61">
        <v>0</v>
      </c>
      <c r="D74" s="61">
        <v>0</v>
      </c>
      <c r="E74" s="239">
        <f>C74*D74</f>
        <v>0</v>
      </c>
      <c r="F74" s="239"/>
      <c r="G74" s="295">
        <v>0</v>
      </c>
      <c r="H74" s="301"/>
      <c r="I74" s="301"/>
      <c r="J74" s="295">
        <v>0</v>
      </c>
      <c r="K74" s="301"/>
      <c r="L74" s="301"/>
    </row>
    <row r="75" spans="1:12" ht="21.6" customHeight="1" x14ac:dyDescent="0.25">
      <c r="A75" s="243" t="s">
        <v>12</v>
      </c>
      <c r="B75" s="244"/>
      <c r="C75" s="62" t="s">
        <v>13</v>
      </c>
      <c r="D75" s="62" t="s">
        <v>13</v>
      </c>
      <c r="E75" s="239">
        <f>SUM(E74:F74)</f>
        <v>0</v>
      </c>
      <c r="F75" s="239"/>
      <c r="G75" s="211">
        <v>0</v>
      </c>
      <c r="H75" s="225"/>
      <c r="I75" s="226"/>
      <c r="J75" s="211">
        <v>0</v>
      </c>
      <c r="K75" s="225"/>
      <c r="L75" s="226"/>
    </row>
    <row r="76" spans="1:12" ht="21.6" customHeight="1" x14ac:dyDescent="0.25">
      <c r="A76" s="5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21.6" customHeight="1" x14ac:dyDescent="0.25">
      <c r="A77" s="238" t="s">
        <v>192</v>
      </c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</row>
    <row r="78" spans="1:12" ht="21.6" customHeight="1" x14ac:dyDescent="0.25">
      <c r="A78" s="59" t="s">
        <v>39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21.6" customHeight="1" x14ac:dyDescent="0.25">
      <c r="A79" s="5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21.6" customHeight="1" x14ac:dyDescent="0.25">
      <c r="A80" s="203" t="s">
        <v>5</v>
      </c>
      <c r="B80" s="188" t="s">
        <v>31</v>
      </c>
      <c r="C80" s="188" t="s">
        <v>36</v>
      </c>
      <c r="D80" s="188" t="s">
        <v>32</v>
      </c>
      <c r="E80" s="180" t="s">
        <v>33</v>
      </c>
      <c r="F80" s="181"/>
      <c r="G80" s="179" t="s">
        <v>118</v>
      </c>
      <c r="H80" s="228"/>
      <c r="I80" s="228"/>
      <c r="J80" s="228"/>
      <c r="K80" s="228"/>
      <c r="L80" s="228"/>
    </row>
    <row r="81" spans="1:12" ht="21.6" customHeight="1" x14ac:dyDescent="0.25">
      <c r="A81" s="192"/>
      <c r="B81" s="192"/>
      <c r="C81" s="192"/>
      <c r="D81" s="192"/>
      <c r="E81" s="240"/>
      <c r="F81" s="241"/>
      <c r="G81" s="214" t="s">
        <v>277</v>
      </c>
      <c r="H81" s="215"/>
      <c r="I81" s="216"/>
      <c r="J81" s="214" t="s">
        <v>278</v>
      </c>
      <c r="K81" s="215"/>
      <c r="L81" s="216"/>
    </row>
    <row r="82" spans="1:12" s="48" customFormat="1" ht="21.6" customHeight="1" x14ac:dyDescent="0.15">
      <c r="A82" s="53" t="s">
        <v>34</v>
      </c>
      <c r="B82" s="16">
        <v>2</v>
      </c>
      <c r="C82" s="16">
        <v>3</v>
      </c>
      <c r="D82" s="16">
        <v>4</v>
      </c>
      <c r="E82" s="242">
        <v>5</v>
      </c>
      <c r="F82" s="242"/>
      <c r="G82" s="253">
        <v>6</v>
      </c>
      <c r="H82" s="254"/>
      <c r="I82" s="255"/>
      <c r="J82" s="253">
        <v>7</v>
      </c>
      <c r="K82" s="254"/>
      <c r="L82" s="255"/>
    </row>
    <row r="83" spans="1:12" ht="21.6" customHeight="1" x14ac:dyDescent="0.25">
      <c r="A83" s="64"/>
      <c r="B83" s="61"/>
      <c r="C83" s="61">
        <v>0</v>
      </c>
      <c r="D83" s="65">
        <v>0</v>
      </c>
      <c r="E83" s="295">
        <v>0</v>
      </c>
      <c r="F83" s="295"/>
      <c r="G83" s="204">
        <v>0</v>
      </c>
      <c r="H83" s="205"/>
      <c r="I83" s="206"/>
      <c r="J83" s="204">
        <v>0</v>
      </c>
      <c r="K83" s="205"/>
      <c r="L83" s="206"/>
    </row>
    <row r="84" spans="1:12" ht="21.6" customHeight="1" x14ac:dyDescent="0.25">
      <c r="A84" s="243" t="s">
        <v>12</v>
      </c>
      <c r="B84" s="244"/>
      <c r="C84" s="62" t="s">
        <v>13</v>
      </c>
      <c r="D84" s="62" t="s">
        <v>13</v>
      </c>
      <c r="E84" s="285">
        <f>SUM(E83:F83)</f>
        <v>0</v>
      </c>
      <c r="F84" s="285"/>
      <c r="G84" s="204">
        <v>0</v>
      </c>
      <c r="H84" s="205"/>
      <c r="I84" s="206"/>
      <c r="J84" s="204">
        <v>0</v>
      </c>
      <c r="K84" s="205"/>
      <c r="L84" s="206"/>
    </row>
    <row r="85" spans="1:12" ht="21.6" customHeight="1" x14ac:dyDescent="0.25">
      <c r="A85" s="66"/>
      <c r="B85" s="67"/>
      <c r="C85" s="68"/>
      <c r="D85" s="68"/>
      <c r="E85" s="69"/>
      <c r="F85" s="69"/>
      <c r="G85" s="70"/>
      <c r="H85" s="71"/>
      <c r="I85" s="71"/>
      <c r="J85" s="70"/>
      <c r="K85" s="71"/>
      <c r="L85" s="71"/>
    </row>
    <row r="86" spans="1:12" ht="21.6" customHeight="1" x14ac:dyDescent="0.25">
      <c r="A86" s="238" t="s">
        <v>195</v>
      </c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</row>
    <row r="87" spans="1:12" ht="21.6" customHeight="1" x14ac:dyDescent="0.25">
      <c r="A87" s="59" t="s">
        <v>145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21.6" customHeight="1" x14ac:dyDescent="0.25">
      <c r="A88" s="172" t="s">
        <v>196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</row>
    <row r="89" spans="1:12" ht="21.6" customHeight="1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ht="21.6" customHeight="1" x14ac:dyDescent="0.25">
      <c r="A90" s="188" t="s">
        <v>5</v>
      </c>
      <c r="B90" s="188" t="s">
        <v>6</v>
      </c>
      <c r="C90" s="188" t="s">
        <v>40</v>
      </c>
      <c r="D90" s="188" t="s">
        <v>155</v>
      </c>
      <c r="E90" s="188" t="s">
        <v>41</v>
      </c>
      <c r="F90" s="188" t="s">
        <v>9</v>
      </c>
      <c r="G90" s="179" t="s">
        <v>118</v>
      </c>
      <c r="H90" s="228"/>
      <c r="I90" s="228"/>
      <c r="J90" s="228"/>
      <c r="K90" s="228"/>
      <c r="L90" s="228"/>
    </row>
    <row r="91" spans="1:12" ht="21.6" customHeight="1" x14ac:dyDescent="0.25">
      <c r="A91" s="192"/>
      <c r="B91" s="192"/>
      <c r="C91" s="192"/>
      <c r="D91" s="192"/>
      <c r="E91" s="192"/>
      <c r="F91" s="192"/>
      <c r="G91" s="179" t="s">
        <v>265</v>
      </c>
      <c r="H91" s="228"/>
      <c r="I91" s="228"/>
      <c r="J91" s="179" t="s">
        <v>265</v>
      </c>
      <c r="K91" s="228"/>
      <c r="L91" s="228"/>
    </row>
    <row r="92" spans="1:12" s="48" customFormat="1" ht="21.6" customHeight="1" x14ac:dyDescent="0.15">
      <c r="A92" s="47">
        <v>1</v>
      </c>
      <c r="B92" s="47">
        <v>2</v>
      </c>
      <c r="C92" s="47">
        <v>3</v>
      </c>
      <c r="D92" s="47">
        <v>4</v>
      </c>
      <c r="E92" s="47">
        <v>5</v>
      </c>
      <c r="F92" s="47">
        <v>6</v>
      </c>
      <c r="G92" s="257">
        <v>7</v>
      </c>
      <c r="H92" s="258"/>
      <c r="I92" s="259"/>
      <c r="J92" s="257">
        <v>8</v>
      </c>
      <c r="K92" s="258"/>
      <c r="L92" s="259"/>
    </row>
    <row r="93" spans="1:12" ht="21.6" customHeight="1" x14ac:dyDescent="0.25">
      <c r="A93" s="11"/>
      <c r="B93" s="43"/>
      <c r="C93" s="11">
        <v>0</v>
      </c>
      <c r="D93" s="11">
        <v>0</v>
      </c>
      <c r="E93" s="44">
        <v>0</v>
      </c>
      <c r="F93" s="44">
        <v>0</v>
      </c>
      <c r="G93" s="272">
        <v>0</v>
      </c>
      <c r="H93" s="215"/>
      <c r="I93" s="216"/>
      <c r="J93" s="272">
        <v>0</v>
      </c>
      <c r="K93" s="215"/>
      <c r="L93" s="216"/>
    </row>
    <row r="94" spans="1:12" ht="21.6" customHeight="1" x14ac:dyDescent="0.25">
      <c r="A94" s="214" t="s">
        <v>12</v>
      </c>
      <c r="B94" s="223"/>
      <c r="C94" s="11" t="s">
        <v>13</v>
      </c>
      <c r="D94" s="11" t="s">
        <v>13</v>
      </c>
      <c r="E94" s="11" t="s">
        <v>13</v>
      </c>
      <c r="F94" s="45">
        <f>SUM(F93:F93)</f>
        <v>0</v>
      </c>
      <c r="G94" s="235">
        <v>0</v>
      </c>
      <c r="H94" s="320"/>
      <c r="I94" s="321"/>
      <c r="J94" s="235">
        <v>0</v>
      </c>
      <c r="K94" s="320"/>
      <c r="L94" s="321"/>
    </row>
    <row r="95" spans="1:12" ht="21.6" customHeight="1" x14ac:dyDescent="0.25">
      <c r="A95" s="5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21.6" customHeight="1" x14ac:dyDescent="0.25">
      <c r="A96" s="238" t="s">
        <v>199</v>
      </c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</row>
    <row r="97" spans="1:12" ht="21.6" customHeight="1" x14ac:dyDescent="0.25">
      <c r="A97" s="5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21.6" customHeight="1" x14ac:dyDescent="0.25">
      <c r="A98" s="203" t="s">
        <v>5</v>
      </c>
      <c r="B98" s="188" t="s">
        <v>6</v>
      </c>
      <c r="C98" s="188" t="s">
        <v>42</v>
      </c>
      <c r="D98" s="188" t="s">
        <v>43</v>
      </c>
      <c r="E98" s="180" t="s">
        <v>44</v>
      </c>
      <c r="F98" s="181"/>
      <c r="G98" s="179" t="s">
        <v>118</v>
      </c>
      <c r="H98" s="228"/>
      <c r="I98" s="228"/>
      <c r="J98" s="228"/>
      <c r="K98" s="228"/>
      <c r="L98" s="228"/>
    </row>
    <row r="99" spans="1:12" ht="21.6" customHeight="1" x14ac:dyDescent="0.25">
      <c r="A99" s="192"/>
      <c r="B99" s="192"/>
      <c r="C99" s="192"/>
      <c r="D99" s="192"/>
      <c r="E99" s="240"/>
      <c r="F99" s="241"/>
      <c r="G99" s="179" t="s">
        <v>276</v>
      </c>
      <c r="H99" s="228"/>
      <c r="I99" s="228"/>
      <c r="J99" s="179" t="s">
        <v>276</v>
      </c>
      <c r="K99" s="228"/>
      <c r="L99" s="228"/>
    </row>
    <row r="100" spans="1:12" s="48" customFormat="1" ht="21.6" customHeight="1" x14ac:dyDescent="0.15">
      <c r="A100" s="53" t="s">
        <v>34</v>
      </c>
      <c r="B100" s="16">
        <v>2</v>
      </c>
      <c r="C100" s="16">
        <v>3</v>
      </c>
      <c r="D100" s="16">
        <v>4</v>
      </c>
      <c r="E100" s="242">
        <v>5</v>
      </c>
      <c r="F100" s="242"/>
      <c r="G100" s="253">
        <v>6</v>
      </c>
      <c r="H100" s="254"/>
      <c r="I100" s="255"/>
      <c r="J100" s="253">
        <v>7</v>
      </c>
      <c r="K100" s="254"/>
      <c r="L100" s="255"/>
    </row>
    <row r="101" spans="1:12" ht="21.6" customHeight="1" x14ac:dyDescent="0.25">
      <c r="A101" s="55" t="s">
        <v>34</v>
      </c>
      <c r="B101" s="72"/>
      <c r="C101" s="62"/>
      <c r="D101" s="44"/>
      <c r="E101" s="204">
        <v>0</v>
      </c>
      <c r="F101" s="219"/>
      <c r="G101" s="204">
        <v>0</v>
      </c>
      <c r="H101" s="218"/>
      <c r="I101" s="219"/>
      <c r="J101" s="204">
        <f>E101</f>
        <v>0</v>
      </c>
      <c r="K101" s="218"/>
      <c r="L101" s="219"/>
    </row>
    <row r="102" spans="1:12" ht="21.6" customHeight="1" x14ac:dyDescent="0.25">
      <c r="A102" s="243" t="s">
        <v>12</v>
      </c>
      <c r="B102" s="244"/>
      <c r="C102" s="62" t="s">
        <v>13</v>
      </c>
      <c r="D102" s="62" t="s">
        <v>13</v>
      </c>
      <c r="E102" s="285">
        <f>SUM(E101)</f>
        <v>0</v>
      </c>
      <c r="F102" s="285"/>
      <c r="G102" s="211">
        <f>SUM(G101)</f>
        <v>0</v>
      </c>
      <c r="H102" s="227"/>
      <c r="I102" s="194"/>
      <c r="J102" s="211">
        <f>SUM(J101)</f>
        <v>0</v>
      </c>
      <c r="K102" s="227"/>
      <c r="L102" s="194"/>
    </row>
    <row r="103" spans="1:12" ht="21.6" customHeight="1" x14ac:dyDescent="0.25">
      <c r="A103" s="5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ht="21.6" customHeight="1" x14ac:dyDescent="0.25">
      <c r="A104" s="172" t="s">
        <v>244</v>
      </c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</row>
    <row r="105" spans="1:12" ht="21.6" customHeight="1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21.6" customHeight="1" x14ac:dyDescent="0.25">
      <c r="A106" s="188" t="s">
        <v>5</v>
      </c>
      <c r="B106" s="188" t="s">
        <v>31</v>
      </c>
      <c r="C106" s="188" t="s">
        <v>45</v>
      </c>
      <c r="D106" s="188" t="s">
        <v>46</v>
      </c>
      <c r="E106" s="188" t="s">
        <v>47</v>
      </c>
      <c r="F106" s="188" t="s">
        <v>9</v>
      </c>
      <c r="G106" s="179" t="s">
        <v>118</v>
      </c>
      <c r="H106" s="228"/>
      <c r="I106" s="228"/>
      <c r="J106" s="228"/>
      <c r="K106" s="228"/>
      <c r="L106" s="228"/>
    </row>
    <row r="107" spans="1:12" ht="21.6" customHeight="1" x14ac:dyDescent="0.25">
      <c r="A107" s="191"/>
      <c r="B107" s="191"/>
      <c r="C107" s="191"/>
      <c r="D107" s="191"/>
      <c r="E107" s="191"/>
      <c r="F107" s="191"/>
      <c r="G107" s="179" t="s">
        <v>200</v>
      </c>
      <c r="H107" s="228"/>
      <c r="I107" s="228"/>
      <c r="J107" s="179" t="s">
        <v>201</v>
      </c>
      <c r="K107" s="228"/>
      <c r="L107" s="228"/>
    </row>
    <row r="108" spans="1:12" ht="21.6" customHeight="1" x14ac:dyDescent="0.25">
      <c r="A108" s="192"/>
      <c r="B108" s="192"/>
      <c r="C108" s="192"/>
      <c r="D108" s="192"/>
      <c r="E108" s="192"/>
      <c r="F108" s="192"/>
      <c r="G108" s="73" t="s">
        <v>45</v>
      </c>
      <c r="H108" s="74" t="s">
        <v>152</v>
      </c>
      <c r="I108" s="74" t="s">
        <v>150</v>
      </c>
      <c r="J108" s="73" t="s">
        <v>45</v>
      </c>
      <c r="K108" s="74" t="s">
        <v>134</v>
      </c>
      <c r="L108" s="74" t="s">
        <v>151</v>
      </c>
    </row>
    <row r="109" spans="1:12" s="48" customFormat="1" ht="21.6" customHeight="1" x14ac:dyDescent="0.15">
      <c r="A109" s="47">
        <v>1</v>
      </c>
      <c r="B109" s="47">
        <v>2</v>
      </c>
      <c r="C109" s="47">
        <v>3</v>
      </c>
      <c r="D109" s="47">
        <v>4</v>
      </c>
      <c r="E109" s="47">
        <v>5</v>
      </c>
      <c r="F109" s="75">
        <v>6</v>
      </c>
      <c r="G109" s="47">
        <v>7</v>
      </c>
      <c r="H109" s="76">
        <v>8</v>
      </c>
      <c r="I109" s="76">
        <v>9</v>
      </c>
      <c r="J109" s="47">
        <v>10</v>
      </c>
      <c r="K109" s="76">
        <v>11</v>
      </c>
      <c r="L109" s="76">
        <v>12</v>
      </c>
    </row>
    <row r="110" spans="1:12" ht="21.6" customHeight="1" x14ac:dyDescent="0.25">
      <c r="A110" s="11"/>
      <c r="B110" s="43"/>
      <c r="C110" s="44">
        <v>0</v>
      </c>
      <c r="D110" s="44">
        <v>0</v>
      </c>
      <c r="E110" s="44">
        <v>0</v>
      </c>
      <c r="F110" s="77">
        <v>0</v>
      </c>
      <c r="G110" s="44"/>
      <c r="H110" s="44"/>
      <c r="I110" s="44"/>
      <c r="J110" s="44"/>
      <c r="K110" s="44"/>
      <c r="L110" s="44"/>
    </row>
    <row r="111" spans="1:12" ht="21.6" customHeight="1" x14ac:dyDescent="0.25">
      <c r="A111" s="214" t="s">
        <v>12</v>
      </c>
      <c r="B111" s="223"/>
      <c r="C111" s="44" t="s">
        <v>13</v>
      </c>
      <c r="D111" s="44" t="s">
        <v>13</v>
      </c>
      <c r="E111" s="44" t="s">
        <v>13</v>
      </c>
      <c r="F111" s="78">
        <f>SUM(F110:F110)</f>
        <v>0</v>
      </c>
      <c r="G111" s="45" t="s">
        <v>13</v>
      </c>
      <c r="H111" s="45" t="s">
        <v>13</v>
      </c>
      <c r="I111" s="45">
        <v>0</v>
      </c>
      <c r="J111" s="45" t="s">
        <v>13</v>
      </c>
      <c r="K111" s="45" t="s">
        <v>13</v>
      </c>
      <c r="L111" s="45">
        <v>0</v>
      </c>
    </row>
    <row r="112" spans="1:12" ht="21.6" customHeight="1" x14ac:dyDescent="0.25">
      <c r="A112" s="59"/>
      <c r="B112" s="40"/>
      <c r="C112" s="40"/>
      <c r="D112" s="40"/>
      <c r="E112" s="40"/>
      <c r="F112" s="40"/>
      <c r="G112" s="51"/>
      <c r="H112" s="51"/>
      <c r="I112" s="51"/>
      <c r="J112" s="51"/>
      <c r="K112" s="51"/>
      <c r="L112" s="51"/>
    </row>
    <row r="113" spans="1:12" ht="21.6" customHeight="1" x14ac:dyDescent="0.25">
      <c r="A113" s="238" t="s">
        <v>202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</row>
    <row r="114" spans="1:12" ht="21.6" customHeight="1" x14ac:dyDescent="0.25">
      <c r="A114" s="5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21.6" customHeight="1" x14ac:dyDescent="0.25">
      <c r="A115" s="203" t="s">
        <v>5</v>
      </c>
      <c r="B115" s="188" t="s">
        <v>31</v>
      </c>
      <c r="C115" s="188" t="s">
        <v>48</v>
      </c>
      <c r="D115" s="188" t="s">
        <v>49</v>
      </c>
      <c r="E115" s="180" t="s">
        <v>50</v>
      </c>
      <c r="F115" s="181"/>
      <c r="G115" s="179" t="s">
        <v>118</v>
      </c>
      <c r="H115" s="228"/>
      <c r="I115" s="228"/>
      <c r="J115" s="228"/>
      <c r="K115" s="228"/>
      <c r="L115" s="228"/>
    </row>
    <row r="116" spans="1:12" ht="21.6" customHeight="1" x14ac:dyDescent="0.25">
      <c r="A116" s="192"/>
      <c r="B116" s="192"/>
      <c r="C116" s="192"/>
      <c r="D116" s="192"/>
      <c r="E116" s="240"/>
      <c r="F116" s="241"/>
      <c r="G116" s="214" t="s">
        <v>264</v>
      </c>
      <c r="H116" s="215"/>
      <c r="I116" s="216"/>
      <c r="J116" s="214" t="s">
        <v>264</v>
      </c>
      <c r="K116" s="215"/>
      <c r="L116" s="216"/>
    </row>
    <row r="117" spans="1:12" s="48" customFormat="1" ht="21.6" customHeight="1" x14ac:dyDescent="0.15">
      <c r="A117" s="53" t="s">
        <v>34</v>
      </c>
      <c r="B117" s="16">
        <v>2</v>
      </c>
      <c r="C117" s="16">
        <v>3</v>
      </c>
      <c r="D117" s="16">
        <v>4</v>
      </c>
      <c r="E117" s="242">
        <v>5</v>
      </c>
      <c r="F117" s="242"/>
      <c r="G117" s="253">
        <v>6</v>
      </c>
      <c r="H117" s="254"/>
      <c r="I117" s="255"/>
      <c r="J117" s="253">
        <v>7</v>
      </c>
      <c r="K117" s="254"/>
      <c r="L117" s="255"/>
    </row>
    <row r="118" spans="1:12" ht="21.6" customHeight="1" x14ac:dyDescent="0.25">
      <c r="A118" s="60"/>
      <c r="B118" s="61" t="s">
        <v>366</v>
      </c>
      <c r="C118" s="61">
        <v>0</v>
      </c>
      <c r="D118" s="61">
        <v>0</v>
      </c>
      <c r="E118" s="295">
        <f>1030000</f>
        <v>1030000</v>
      </c>
      <c r="F118" s="295"/>
      <c r="G118" s="204">
        <v>0</v>
      </c>
      <c r="H118" s="205"/>
      <c r="I118" s="206"/>
      <c r="J118" s="204">
        <f>E118</f>
        <v>1030000</v>
      </c>
      <c r="K118" s="205"/>
      <c r="L118" s="206"/>
    </row>
    <row r="119" spans="1:12" ht="21.6" customHeight="1" x14ac:dyDescent="0.25">
      <c r="A119" s="243" t="s">
        <v>12</v>
      </c>
      <c r="B119" s="244"/>
      <c r="C119" s="62" t="s">
        <v>13</v>
      </c>
      <c r="D119" s="62" t="s">
        <v>13</v>
      </c>
      <c r="E119" s="285">
        <f>SUM(E118:F118)</f>
        <v>1030000</v>
      </c>
      <c r="F119" s="285"/>
      <c r="G119" s="211">
        <v>0</v>
      </c>
      <c r="H119" s="225"/>
      <c r="I119" s="226"/>
      <c r="J119" s="211">
        <f>J118</f>
        <v>1030000</v>
      </c>
      <c r="K119" s="225"/>
      <c r="L119" s="226"/>
    </row>
    <row r="120" spans="1:12" ht="21.6" customHeight="1" x14ac:dyDescent="0.25">
      <c r="A120" s="5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21.6" customHeight="1" x14ac:dyDescent="0.25">
      <c r="A121" s="238" t="s">
        <v>203</v>
      </c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</row>
    <row r="122" spans="1:12" ht="21.6" customHeight="1" x14ac:dyDescent="0.25">
      <c r="A122" s="5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21.6" customHeight="1" x14ac:dyDescent="0.25">
      <c r="A123" s="203" t="s">
        <v>5</v>
      </c>
      <c r="B123" s="188" t="s">
        <v>6</v>
      </c>
      <c r="C123" s="188" t="s">
        <v>51</v>
      </c>
      <c r="D123" s="188" t="s">
        <v>52</v>
      </c>
      <c r="E123" s="180" t="s">
        <v>53</v>
      </c>
      <c r="F123" s="181"/>
      <c r="G123" s="179" t="s">
        <v>118</v>
      </c>
      <c r="H123" s="228"/>
      <c r="I123" s="228"/>
      <c r="J123" s="228"/>
      <c r="K123" s="228"/>
      <c r="L123" s="228"/>
    </row>
    <row r="124" spans="1:12" ht="21.6" customHeight="1" x14ac:dyDescent="0.25">
      <c r="A124" s="192"/>
      <c r="B124" s="192"/>
      <c r="C124" s="192"/>
      <c r="D124" s="192"/>
      <c r="E124" s="240"/>
      <c r="F124" s="241"/>
      <c r="G124" s="214" t="s">
        <v>274</v>
      </c>
      <c r="H124" s="215"/>
      <c r="I124" s="216"/>
      <c r="J124" s="214" t="s">
        <v>275</v>
      </c>
      <c r="K124" s="215"/>
      <c r="L124" s="216"/>
    </row>
    <row r="125" spans="1:12" s="48" customFormat="1" ht="21.6" customHeight="1" x14ac:dyDescent="0.15">
      <c r="A125" s="53" t="s">
        <v>34</v>
      </c>
      <c r="B125" s="16">
        <v>2</v>
      </c>
      <c r="C125" s="16">
        <v>3</v>
      </c>
      <c r="D125" s="16">
        <v>4</v>
      </c>
      <c r="E125" s="242">
        <v>5</v>
      </c>
      <c r="F125" s="242"/>
      <c r="G125" s="253">
        <v>6</v>
      </c>
      <c r="H125" s="254"/>
      <c r="I125" s="255"/>
      <c r="J125" s="253">
        <v>7</v>
      </c>
      <c r="K125" s="254"/>
      <c r="L125" s="255"/>
    </row>
    <row r="126" spans="1:12" ht="21.6" customHeight="1" x14ac:dyDescent="0.25">
      <c r="A126" s="79" t="s">
        <v>34</v>
      </c>
      <c r="B126" s="61" t="s">
        <v>161</v>
      </c>
      <c r="C126" s="11"/>
      <c r="D126" s="11"/>
      <c r="E126" s="204">
        <v>0</v>
      </c>
      <c r="F126" s="213"/>
      <c r="G126" s="256">
        <v>2977823.25</v>
      </c>
      <c r="H126" s="314"/>
      <c r="I126" s="315"/>
      <c r="J126" s="256">
        <v>0</v>
      </c>
      <c r="K126" s="314"/>
      <c r="L126" s="315"/>
    </row>
    <row r="127" spans="1:12" ht="21.6" customHeight="1" x14ac:dyDescent="0.25">
      <c r="A127" s="209" t="s">
        <v>12</v>
      </c>
      <c r="B127" s="210"/>
      <c r="C127" s="62" t="s">
        <v>13</v>
      </c>
      <c r="D127" s="62" t="s">
        <v>13</v>
      </c>
      <c r="E127" s="211">
        <f>SUM(E126:F126)</f>
        <v>0</v>
      </c>
      <c r="F127" s="290"/>
      <c r="G127" s="280">
        <f>SUM(G126:I126)</f>
        <v>2977823.25</v>
      </c>
      <c r="H127" s="316"/>
      <c r="I127" s="317"/>
      <c r="J127" s="280">
        <f>SUM(J126:L126)</f>
        <v>0</v>
      </c>
      <c r="K127" s="316"/>
      <c r="L127" s="317"/>
    </row>
    <row r="128" spans="1:12" ht="21.6" customHeight="1" x14ac:dyDescent="0.25">
      <c r="A128" s="5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8" ht="21.6" customHeight="1" x14ac:dyDescent="0.25">
      <c r="A129" s="238" t="s">
        <v>204</v>
      </c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</row>
    <row r="130" spans="1:18" ht="21.6" customHeight="1" x14ac:dyDescent="0.25">
      <c r="A130" s="5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8" ht="21.6" customHeight="1" x14ac:dyDescent="0.25">
      <c r="A131" s="203" t="s">
        <v>5</v>
      </c>
      <c r="B131" s="188" t="s">
        <v>6</v>
      </c>
      <c r="C131" s="180" t="s">
        <v>54</v>
      </c>
      <c r="D131" s="181"/>
      <c r="E131" s="180" t="s">
        <v>55</v>
      </c>
      <c r="F131" s="181"/>
      <c r="G131" s="179" t="s">
        <v>118</v>
      </c>
      <c r="H131" s="228"/>
      <c r="I131" s="228"/>
      <c r="J131" s="228"/>
      <c r="K131" s="228"/>
      <c r="L131" s="228"/>
    </row>
    <row r="132" spans="1:18" ht="21.6" customHeight="1" x14ac:dyDescent="0.25">
      <c r="A132" s="192"/>
      <c r="B132" s="192"/>
      <c r="C132" s="240"/>
      <c r="D132" s="241"/>
      <c r="E132" s="240"/>
      <c r="F132" s="241"/>
      <c r="G132" s="214" t="s">
        <v>259</v>
      </c>
      <c r="H132" s="215"/>
      <c r="I132" s="216"/>
      <c r="J132" s="214" t="s">
        <v>260</v>
      </c>
      <c r="K132" s="215"/>
      <c r="L132" s="216"/>
    </row>
    <row r="133" spans="1:18" s="48" customFormat="1" ht="21.6" customHeight="1" x14ac:dyDescent="0.15">
      <c r="A133" s="53" t="s">
        <v>34</v>
      </c>
      <c r="B133" s="16">
        <v>2</v>
      </c>
      <c r="C133" s="257">
        <v>3</v>
      </c>
      <c r="D133" s="300"/>
      <c r="E133" s="253">
        <v>4</v>
      </c>
      <c r="F133" s="261"/>
      <c r="G133" s="253">
        <v>5</v>
      </c>
      <c r="H133" s="254"/>
      <c r="I133" s="255"/>
      <c r="J133" s="253">
        <v>6</v>
      </c>
      <c r="K133" s="254"/>
      <c r="L133" s="255"/>
    </row>
    <row r="134" spans="1:18" ht="21.6" customHeight="1" x14ac:dyDescent="0.25">
      <c r="A134" s="79" t="s">
        <v>34</v>
      </c>
      <c r="B134" s="61" t="s">
        <v>96</v>
      </c>
      <c r="C134" s="214">
        <v>18</v>
      </c>
      <c r="D134" s="223"/>
      <c r="E134" s="204">
        <f>3622600-42500-1030000+6000000</f>
        <v>8550100</v>
      </c>
      <c r="F134" s="206"/>
      <c r="G134" s="256">
        <v>9317338</v>
      </c>
      <c r="H134" s="221"/>
      <c r="I134" s="222"/>
      <c r="J134" s="256">
        <f>E134</f>
        <v>8550100</v>
      </c>
      <c r="K134" s="221"/>
      <c r="L134" s="222"/>
    </row>
    <row r="135" spans="1:18" ht="21.6" customHeight="1" x14ac:dyDescent="0.25">
      <c r="A135" s="79" t="s">
        <v>19</v>
      </c>
      <c r="B135" s="72" t="s">
        <v>355</v>
      </c>
      <c r="C135" s="214">
        <v>1</v>
      </c>
      <c r="D135" s="296"/>
      <c r="E135" s="204">
        <f>12500</f>
        <v>12500</v>
      </c>
      <c r="F135" s="219"/>
      <c r="G135" s="256">
        <v>10500</v>
      </c>
      <c r="H135" s="218"/>
      <c r="I135" s="219"/>
      <c r="J135" s="256">
        <f>E135</f>
        <v>12500</v>
      </c>
      <c r="K135" s="218"/>
      <c r="L135" s="219"/>
    </row>
    <row r="136" spans="1:18" ht="21.6" customHeight="1" x14ac:dyDescent="0.25">
      <c r="A136" s="79" t="s">
        <v>25</v>
      </c>
      <c r="B136" s="61" t="s">
        <v>161</v>
      </c>
      <c r="C136" s="214"/>
      <c r="D136" s="296"/>
      <c r="E136" s="204">
        <v>0</v>
      </c>
      <c r="F136" s="219"/>
      <c r="G136" s="256">
        <v>9043380</v>
      </c>
      <c r="H136" s="218"/>
      <c r="I136" s="219"/>
      <c r="J136" s="256">
        <f t="shared" ref="J136" si="1">E136</f>
        <v>0</v>
      </c>
      <c r="K136" s="221"/>
      <c r="L136" s="222"/>
    </row>
    <row r="137" spans="1:18" ht="21.6" customHeight="1" x14ac:dyDescent="0.25">
      <c r="A137" s="243" t="s">
        <v>12</v>
      </c>
      <c r="B137" s="244"/>
      <c r="C137" s="214" t="s">
        <v>56</v>
      </c>
      <c r="D137" s="216"/>
      <c r="E137" s="285">
        <f>SUM(E134:F136)</f>
        <v>8562600</v>
      </c>
      <c r="F137" s="285"/>
      <c r="G137" s="280">
        <f>SUM(G134:I136)</f>
        <v>18371218</v>
      </c>
      <c r="H137" s="227"/>
      <c r="I137" s="194"/>
      <c r="J137" s="280">
        <f>SUM(J134:L136)</f>
        <v>8562600</v>
      </c>
      <c r="K137" s="227"/>
      <c r="L137" s="194"/>
      <c r="M137" s="10"/>
      <c r="O137" s="10"/>
      <c r="P137" s="10"/>
      <c r="R137" s="10"/>
    </row>
    <row r="138" spans="1:18" ht="21.6" customHeight="1" x14ac:dyDescent="0.25">
      <c r="A138" s="5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8" ht="21.6" customHeight="1" x14ac:dyDescent="0.25">
      <c r="A139" s="238" t="s">
        <v>206</v>
      </c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</row>
    <row r="140" spans="1:18" ht="21.6" customHeight="1" x14ac:dyDescent="0.25">
      <c r="A140" s="5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8" ht="21.6" customHeight="1" x14ac:dyDescent="0.25">
      <c r="A141" s="203" t="s">
        <v>5</v>
      </c>
      <c r="B141" s="188" t="s">
        <v>6</v>
      </c>
      <c r="C141" s="188" t="s">
        <v>57</v>
      </c>
      <c r="D141" s="188" t="s">
        <v>58</v>
      </c>
      <c r="E141" s="180" t="s">
        <v>75</v>
      </c>
      <c r="F141" s="181"/>
      <c r="G141" s="179" t="s">
        <v>118</v>
      </c>
      <c r="H141" s="228"/>
      <c r="I141" s="228"/>
      <c r="J141" s="228"/>
      <c r="K141" s="228"/>
      <c r="L141" s="228"/>
    </row>
    <row r="142" spans="1:18" ht="21.6" customHeight="1" x14ac:dyDescent="0.25">
      <c r="A142" s="192"/>
      <c r="B142" s="192"/>
      <c r="C142" s="192"/>
      <c r="D142" s="192"/>
      <c r="E142" s="240"/>
      <c r="F142" s="241"/>
      <c r="G142" s="214" t="s">
        <v>255</v>
      </c>
      <c r="H142" s="215"/>
      <c r="I142" s="216"/>
      <c r="J142" s="214" t="s">
        <v>256</v>
      </c>
      <c r="K142" s="215"/>
      <c r="L142" s="216"/>
    </row>
    <row r="143" spans="1:18" s="48" customFormat="1" ht="21.6" customHeight="1" x14ac:dyDescent="0.15">
      <c r="A143" s="53" t="s">
        <v>34</v>
      </c>
      <c r="B143" s="16">
        <v>2</v>
      </c>
      <c r="C143" s="16">
        <v>3</v>
      </c>
      <c r="D143" s="16">
        <v>4</v>
      </c>
      <c r="E143" s="242">
        <v>5</v>
      </c>
      <c r="F143" s="242"/>
      <c r="G143" s="253">
        <v>6</v>
      </c>
      <c r="H143" s="254"/>
      <c r="I143" s="255"/>
      <c r="J143" s="253">
        <v>7</v>
      </c>
      <c r="K143" s="254"/>
      <c r="L143" s="255"/>
    </row>
    <row r="144" spans="1:18" s="48" customFormat="1" ht="21.6" customHeight="1" x14ac:dyDescent="0.15">
      <c r="A144" s="55" t="s">
        <v>34</v>
      </c>
      <c r="B144" s="62"/>
      <c r="C144" s="62"/>
      <c r="D144" s="62"/>
      <c r="E144" s="220"/>
      <c r="F144" s="219"/>
      <c r="G144" s="220"/>
      <c r="H144" s="218"/>
      <c r="I144" s="219"/>
      <c r="J144" s="220"/>
      <c r="K144" s="218"/>
      <c r="L144" s="219"/>
    </row>
    <row r="145" spans="1:12" s="82" customFormat="1" ht="21.6" customHeight="1" x14ac:dyDescent="0.25">
      <c r="A145" s="55" t="s">
        <v>19</v>
      </c>
      <c r="B145" s="80" t="s">
        <v>161</v>
      </c>
      <c r="C145" s="81"/>
      <c r="D145" s="57"/>
      <c r="E145" s="256">
        <v>0</v>
      </c>
      <c r="F145" s="219"/>
      <c r="G145" s="256">
        <v>222176.75</v>
      </c>
      <c r="H145" s="311"/>
      <c r="I145" s="312"/>
      <c r="J145" s="256">
        <v>0</v>
      </c>
      <c r="K145" s="311"/>
      <c r="L145" s="312"/>
    </row>
    <row r="146" spans="1:12" ht="21.6" customHeight="1" x14ac:dyDescent="0.25">
      <c r="A146" s="55"/>
      <c r="B146" s="83" t="s">
        <v>12</v>
      </c>
      <c r="C146" s="84"/>
      <c r="D146" s="84"/>
      <c r="E146" s="280">
        <f>SUM(E145:F145)</f>
        <v>0</v>
      </c>
      <c r="F146" s="310"/>
      <c r="G146" s="280">
        <f>SUM(G145:I145)</f>
        <v>222176.75</v>
      </c>
      <c r="H146" s="313"/>
      <c r="I146" s="212"/>
      <c r="J146" s="280">
        <f t="shared" ref="J146" si="2">E146</f>
        <v>0</v>
      </c>
      <c r="K146" s="313"/>
      <c r="L146" s="212"/>
    </row>
    <row r="147" spans="1:12" s="86" customFormat="1" ht="21.6" customHeight="1" x14ac:dyDescent="0.25">
      <c r="A147" s="55" t="s">
        <v>34</v>
      </c>
      <c r="B147" s="85" t="s">
        <v>354</v>
      </c>
      <c r="C147" s="62">
        <v>1</v>
      </c>
      <c r="D147" s="56">
        <v>30000</v>
      </c>
      <c r="E147" s="204">
        <f>30000</f>
        <v>30000</v>
      </c>
      <c r="F147" s="219"/>
      <c r="G147" s="256">
        <v>0</v>
      </c>
      <c r="H147" s="311"/>
      <c r="I147" s="312"/>
      <c r="J147" s="256">
        <f>E147</f>
        <v>30000</v>
      </c>
      <c r="K147" s="311"/>
      <c r="L147" s="312"/>
    </row>
    <row r="148" spans="1:12" s="86" customFormat="1" ht="21.6" customHeight="1" x14ac:dyDescent="0.25">
      <c r="A148" s="55" t="s">
        <v>19</v>
      </c>
      <c r="B148" s="85" t="s">
        <v>161</v>
      </c>
      <c r="C148" s="62"/>
      <c r="D148" s="56"/>
      <c r="E148" s="204">
        <v>0</v>
      </c>
      <c r="F148" s="219"/>
      <c r="G148" s="256">
        <f>48852+273430</f>
        <v>322282</v>
      </c>
      <c r="H148" s="311"/>
      <c r="I148" s="312"/>
      <c r="J148" s="256">
        <v>0</v>
      </c>
      <c r="K148" s="311"/>
      <c r="L148" s="312"/>
    </row>
    <row r="149" spans="1:12" ht="21.6" customHeight="1" x14ac:dyDescent="0.25">
      <c r="A149" s="243" t="s">
        <v>12</v>
      </c>
      <c r="B149" s="244"/>
      <c r="C149" s="62" t="s">
        <v>13</v>
      </c>
      <c r="D149" s="62" t="s">
        <v>13</v>
      </c>
      <c r="E149" s="211">
        <f>SUM(E147:F148)</f>
        <v>30000</v>
      </c>
      <c r="F149" s="290"/>
      <c r="G149" s="280">
        <f>SUM(G148:I148)</f>
        <v>322282</v>
      </c>
      <c r="H149" s="313"/>
      <c r="I149" s="212"/>
      <c r="J149" s="280">
        <f>SUM(J147:L148)</f>
        <v>30000</v>
      </c>
      <c r="K149" s="313"/>
      <c r="L149" s="212"/>
    </row>
    <row r="150" spans="1:12" ht="21.6" customHeight="1" x14ac:dyDescent="0.25">
      <c r="A150" s="66"/>
      <c r="B150" s="67"/>
      <c r="C150" s="68"/>
      <c r="D150" s="68"/>
      <c r="E150" s="69"/>
      <c r="F150" s="69"/>
      <c r="G150" s="87"/>
      <c r="H150" s="88"/>
      <c r="I150" s="88"/>
      <c r="J150" s="87"/>
      <c r="K150" s="88"/>
      <c r="L150" s="88"/>
    </row>
    <row r="151" spans="1:12" ht="21.6" customHeight="1" x14ac:dyDescent="0.25">
      <c r="A151" s="52" t="s">
        <v>242</v>
      </c>
      <c r="B151" s="67"/>
      <c r="C151" s="68"/>
      <c r="D151" s="68"/>
      <c r="E151" s="69"/>
      <c r="F151" s="69"/>
      <c r="G151" s="69"/>
      <c r="H151" s="89"/>
      <c r="I151" s="89"/>
      <c r="J151" s="69"/>
      <c r="K151" s="90"/>
      <c r="L151" s="90"/>
    </row>
    <row r="152" spans="1:12" ht="21.6" customHeight="1" x14ac:dyDescent="0.25">
      <c r="A152" s="91"/>
      <c r="B152" s="67"/>
      <c r="C152" s="68"/>
      <c r="D152" s="68"/>
      <c r="E152" s="69"/>
      <c r="F152" s="69"/>
      <c r="G152" s="69"/>
      <c r="H152" s="89"/>
      <c r="I152" s="89"/>
      <c r="J152" s="69"/>
      <c r="K152" s="90"/>
      <c r="L152" s="90"/>
    </row>
    <row r="153" spans="1:12" ht="21.6" customHeight="1" x14ac:dyDescent="0.25">
      <c r="A153" s="172" t="s">
        <v>243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</row>
    <row r="154" spans="1:12" ht="21.6" customHeight="1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ht="21.6" customHeight="1" x14ac:dyDescent="0.25">
      <c r="A155" s="188" t="s">
        <v>5</v>
      </c>
      <c r="B155" s="188" t="s">
        <v>31</v>
      </c>
      <c r="C155" s="188" t="s">
        <v>45</v>
      </c>
      <c r="D155" s="188" t="s">
        <v>46</v>
      </c>
      <c r="E155" s="188" t="s">
        <v>47</v>
      </c>
      <c r="F155" s="188" t="s">
        <v>9</v>
      </c>
      <c r="G155" s="179" t="s">
        <v>118</v>
      </c>
      <c r="H155" s="228"/>
      <c r="I155" s="228"/>
      <c r="J155" s="228"/>
      <c r="K155" s="228"/>
      <c r="L155" s="228"/>
    </row>
    <row r="156" spans="1:12" ht="21.6" customHeight="1" x14ac:dyDescent="0.25">
      <c r="A156" s="191"/>
      <c r="B156" s="191"/>
      <c r="C156" s="191"/>
      <c r="D156" s="191"/>
      <c r="E156" s="191"/>
      <c r="F156" s="191"/>
      <c r="G156" s="179" t="s">
        <v>200</v>
      </c>
      <c r="H156" s="228"/>
      <c r="I156" s="228"/>
      <c r="J156" s="179" t="s">
        <v>201</v>
      </c>
      <c r="K156" s="228"/>
      <c r="L156" s="228"/>
    </row>
    <row r="157" spans="1:12" ht="21.6" customHeight="1" x14ac:dyDescent="0.25">
      <c r="A157" s="192"/>
      <c r="B157" s="192"/>
      <c r="C157" s="192"/>
      <c r="D157" s="192"/>
      <c r="E157" s="192"/>
      <c r="F157" s="192"/>
      <c r="G157" s="73" t="s">
        <v>45</v>
      </c>
      <c r="H157" s="74" t="s">
        <v>152</v>
      </c>
      <c r="I157" s="74" t="s">
        <v>150</v>
      </c>
      <c r="J157" s="73" t="s">
        <v>45</v>
      </c>
      <c r="K157" s="74" t="s">
        <v>134</v>
      </c>
      <c r="L157" s="74" t="s">
        <v>151</v>
      </c>
    </row>
    <row r="158" spans="1:12" ht="21.6" customHeight="1" x14ac:dyDescent="0.25">
      <c r="A158" s="47">
        <v>1</v>
      </c>
      <c r="B158" s="47">
        <v>2</v>
      </c>
      <c r="C158" s="47">
        <v>3</v>
      </c>
      <c r="D158" s="47">
        <v>4</v>
      </c>
      <c r="E158" s="47">
        <v>5</v>
      </c>
      <c r="F158" s="47">
        <v>6</v>
      </c>
      <c r="G158" s="47">
        <v>7</v>
      </c>
      <c r="H158" s="76">
        <v>8</v>
      </c>
      <c r="I158" s="76">
        <v>9</v>
      </c>
      <c r="J158" s="47">
        <v>10</v>
      </c>
      <c r="K158" s="76">
        <v>11</v>
      </c>
      <c r="L158" s="76">
        <v>12</v>
      </c>
    </row>
    <row r="159" spans="1:12" ht="21.6" customHeight="1" x14ac:dyDescent="0.25">
      <c r="A159" s="11">
        <v>1</v>
      </c>
      <c r="B159" s="92"/>
      <c r="C159" s="44"/>
      <c r="D159" s="44"/>
      <c r="E159" s="44"/>
      <c r="F159" s="44"/>
      <c r="G159" s="93"/>
      <c r="H159" s="94"/>
      <c r="I159" s="94"/>
      <c r="J159" s="94"/>
      <c r="K159" s="94"/>
      <c r="L159" s="94"/>
    </row>
    <row r="160" spans="1:12" ht="21.6" customHeight="1" x14ac:dyDescent="0.25">
      <c r="A160" s="214" t="s">
        <v>12</v>
      </c>
      <c r="B160" s="223"/>
      <c r="C160" s="44" t="s">
        <v>13</v>
      </c>
      <c r="D160" s="44" t="s">
        <v>13</v>
      </c>
      <c r="E160" s="44" t="s">
        <v>13</v>
      </c>
      <c r="F160" s="45">
        <f>SUM(F159:F159)</f>
        <v>0</v>
      </c>
      <c r="G160" s="95" t="s">
        <v>13</v>
      </c>
      <c r="H160" s="95" t="s">
        <v>13</v>
      </c>
      <c r="I160" s="95">
        <f>SUM(I159:I159)</f>
        <v>0</v>
      </c>
      <c r="J160" s="95" t="s">
        <v>13</v>
      </c>
      <c r="K160" s="95" t="s">
        <v>13</v>
      </c>
      <c r="L160" s="95">
        <f>SUM(L159:L159)</f>
        <v>0</v>
      </c>
    </row>
    <row r="161" spans="1:12" ht="21.6" customHeight="1" x14ac:dyDescent="0.25">
      <c r="A161" s="66"/>
      <c r="B161" s="67"/>
      <c r="C161" s="68"/>
      <c r="D161" s="68"/>
      <c r="E161" s="69"/>
      <c r="F161" s="69"/>
      <c r="G161" s="87"/>
      <c r="H161" s="88"/>
      <c r="I161" s="88"/>
      <c r="J161" s="87"/>
      <c r="K161" s="88"/>
      <c r="L161" s="88"/>
    </row>
    <row r="162" spans="1:12" ht="21.6" customHeight="1" x14ac:dyDescent="0.25">
      <c r="A162" s="66"/>
      <c r="B162" s="67"/>
      <c r="C162" s="68"/>
      <c r="D162" s="68"/>
      <c r="E162" s="69"/>
      <c r="F162" s="69"/>
      <c r="G162" s="308"/>
      <c r="H162" s="308"/>
      <c r="I162" s="309"/>
      <c r="J162" s="302"/>
      <c r="K162" s="88"/>
      <c r="L162" s="88"/>
    </row>
    <row r="163" spans="1:12" ht="21.6" customHeight="1" x14ac:dyDescent="0.25">
      <c r="A163" s="66"/>
      <c r="B163" s="67"/>
      <c r="C163" s="68"/>
      <c r="D163" s="68"/>
      <c r="E163" s="69"/>
      <c r="F163" s="69"/>
      <c r="G163" s="308"/>
      <c r="H163" s="308"/>
      <c r="I163" s="309"/>
      <c r="J163" s="302"/>
      <c r="K163" s="88"/>
      <c r="L163" s="88"/>
    </row>
    <row r="164" spans="1:12" ht="21.6" customHeight="1" x14ac:dyDescent="0.25">
      <c r="A164" s="66"/>
      <c r="B164" s="67"/>
      <c r="C164" s="68"/>
      <c r="D164" s="68"/>
      <c r="E164" s="69"/>
      <c r="F164" s="69"/>
      <c r="G164" s="308"/>
      <c r="H164" s="308"/>
      <c r="I164" s="309"/>
      <c r="J164" s="302"/>
      <c r="K164" s="88"/>
      <c r="L164" s="88"/>
    </row>
    <row r="165" spans="1:12" ht="21.6" customHeight="1" x14ac:dyDescent="0.25">
      <c r="A165" s="66"/>
      <c r="B165" s="67"/>
      <c r="C165" s="68"/>
      <c r="D165" s="68"/>
      <c r="E165" s="69"/>
      <c r="F165" s="69"/>
      <c r="G165" s="308"/>
      <c r="H165" s="308"/>
      <c r="I165" s="309"/>
      <c r="J165" s="302"/>
      <c r="K165" s="88"/>
      <c r="L165" s="88"/>
    </row>
    <row r="166" spans="1:12" ht="21.6" customHeight="1" x14ac:dyDescent="0.25">
      <c r="A166" s="66"/>
      <c r="B166" s="67"/>
      <c r="C166" s="68"/>
      <c r="D166" s="68"/>
      <c r="E166" s="69"/>
      <c r="F166" s="69"/>
      <c r="G166" s="87"/>
      <c r="H166" s="88"/>
      <c r="I166" s="88"/>
      <c r="J166" s="87"/>
      <c r="K166" s="88"/>
      <c r="L166" s="88"/>
    </row>
    <row r="167" spans="1:12" ht="21.6" customHeight="1" x14ac:dyDescent="0.25">
      <c r="A167" s="66"/>
      <c r="B167" s="67"/>
      <c r="C167" s="68"/>
      <c r="D167" s="68"/>
      <c r="E167" s="69"/>
      <c r="F167" s="69"/>
      <c r="G167" s="87"/>
      <c r="H167" s="88"/>
      <c r="I167" s="88"/>
      <c r="J167" s="87"/>
      <c r="K167" s="88"/>
      <c r="L167" s="88"/>
    </row>
    <row r="168" spans="1:12" ht="21.6" customHeight="1" x14ac:dyDescent="0.25">
      <c r="A168" s="66"/>
      <c r="B168" s="67"/>
      <c r="C168" s="68"/>
      <c r="D168" s="68"/>
      <c r="E168" s="69"/>
      <c r="F168" s="69"/>
      <c r="G168" s="87"/>
      <c r="H168" s="88"/>
      <c r="I168" s="88"/>
      <c r="J168" s="87"/>
      <c r="K168" s="88"/>
      <c r="L168" s="88"/>
    </row>
    <row r="169" spans="1:12" ht="21.6" customHeight="1" x14ac:dyDescent="0.25">
      <c r="A169" s="66"/>
      <c r="B169" s="67"/>
      <c r="C169" s="68"/>
      <c r="D169" s="68"/>
      <c r="E169" s="69"/>
      <c r="F169" s="69"/>
      <c r="G169" s="87"/>
      <c r="H169" s="88"/>
      <c r="I169" s="88"/>
      <c r="J169" s="87"/>
      <c r="K169" s="88"/>
      <c r="L169" s="88"/>
    </row>
    <row r="170" spans="1:12" ht="21.6" customHeight="1" x14ac:dyDescent="0.25">
      <c r="A170" s="66"/>
      <c r="B170" s="67"/>
      <c r="C170" s="68"/>
      <c r="D170" s="68"/>
      <c r="E170" s="69"/>
      <c r="F170" s="69"/>
      <c r="G170" s="87"/>
      <c r="H170" s="88"/>
      <c r="I170" s="88"/>
      <c r="J170" s="87"/>
      <c r="K170" s="88"/>
      <c r="L170" s="88"/>
    </row>
    <row r="171" spans="1:12" ht="21.6" customHeight="1" x14ac:dyDescent="0.25">
      <c r="A171" s="66"/>
      <c r="B171" s="67"/>
      <c r="C171" s="68"/>
      <c r="D171" s="68"/>
      <c r="E171" s="69"/>
      <c r="F171" s="69"/>
      <c r="G171" s="87"/>
      <c r="H171" s="88"/>
      <c r="I171" s="88"/>
      <c r="J171" s="87"/>
      <c r="K171" s="88"/>
      <c r="L171" s="88"/>
    </row>
    <row r="172" spans="1:12" ht="21.6" customHeight="1" x14ac:dyDescent="0.25">
      <c r="A172" s="66"/>
      <c r="B172" s="67"/>
      <c r="C172" s="68"/>
      <c r="D172" s="68"/>
      <c r="E172" s="69"/>
      <c r="F172" s="69"/>
      <c r="G172" s="87"/>
      <c r="H172" s="88"/>
      <c r="I172" s="88"/>
      <c r="J172" s="87"/>
      <c r="K172" s="88"/>
      <c r="L172" s="88"/>
    </row>
    <row r="173" spans="1:12" ht="21.6" customHeight="1" x14ac:dyDescent="0.25">
      <c r="A173" s="66"/>
      <c r="B173" s="67"/>
      <c r="C173" s="68"/>
      <c r="D173" s="68"/>
      <c r="E173" s="69"/>
      <c r="F173" s="69"/>
      <c r="G173" s="87"/>
      <c r="H173" s="88"/>
      <c r="I173" s="88"/>
      <c r="J173" s="87"/>
      <c r="K173" s="88"/>
      <c r="L173" s="88"/>
    </row>
    <row r="174" spans="1:12" ht="21.6" customHeight="1" x14ac:dyDescent="0.25">
      <c r="A174" s="66"/>
      <c r="B174" s="67"/>
      <c r="C174" s="68"/>
      <c r="D174" s="68"/>
      <c r="E174" s="69"/>
      <c r="F174" s="69"/>
      <c r="G174" s="87"/>
      <c r="H174" s="88"/>
      <c r="I174" s="88"/>
      <c r="J174" s="87"/>
      <c r="K174" s="88"/>
      <c r="L174" s="88"/>
    </row>
    <row r="175" spans="1:12" ht="21.6" customHeight="1" x14ac:dyDescent="0.25">
      <c r="A175" s="66"/>
      <c r="B175" s="67"/>
      <c r="C175" s="68"/>
      <c r="D175" s="68"/>
      <c r="E175" s="69"/>
      <c r="F175" s="69"/>
      <c r="G175" s="87"/>
      <c r="H175" s="88"/>
      <c r="I175" s="88"/>
      <c r="J175" s="87"/>
      <c r="K175" s="88"/>
      <c r="L175" s="88"/>
    </row>
    <row r="176" spans="1:12" ht="21.6" customHeight="1" x14ac:dyDescent="0.25">
      <c r="A176" s="66"/>
      <c r="B176" s="67"/>
      <c r="C176" s="68"/>
      <c r="D176" s="68"/>
      <c r="E176" s="69"/>
      <c r="F176" s="69"/>
      <c r="G176" s="87"/>
      <c r="H176" s="88"/>
      <c r="I176" s="88"/>
      <c r="J176" s="87"/>
      <c r="K176" s="88"/>
      <c r="L176" s="88"/>
    </row>
    <row r="177" spans="1:12" ht="21.6" customHeight="1" x14ac:dyDescent="0.25">
      <c r="A177" s="66"/>
      <c r="B177" s="67"/>
      <c r="C177" s="68"/>
      <c r="D177" s="68"/>
      <c r="E177" s="69"/>
      <c r="F177" s="69"/>
      <c r="G177" s="87"/>
      <c r="H177" s="88"/>
      <c r="I177" s="88"/>
      <c r="J177" s="87"/>
      <c r="K177" s="88"/>
      <c r="L177" s="88"/>
    </row>
    <row r="178" spans="1:12" ht="21.6" customHeight="1" x14ac:dyDescent="0.25">
      <c r="A178" s="66"/>
      <c r="B178" s="67"/>
      <c r="C178" s="68"/>
      <c r="D178" s="68"/>
      <c r="E178" s="69"/>
      <c r="F178" s="69"/>
      <c r="G178" s="87"/>
      <c r="H178" s="88"/>
      <c r="I178" s="88"/>
      <c r="J178" s="87"/>
      <c r="K178" s="88"/>
      <c r="L178" s="88"/>
    </row>
    <row r="179" spans="1:12" ht="21.6" customHeight="1" x14ac:dyDescent="0.25">
      <c r="A179" s="66"/>
      <c r="B179" s="67"/>
      <c r="C179" s="68"/>
      <c r="D179" s="68"/>
      <c r="E179" s="69"/>
      <c r="F179" s="69"/>
      <c r="G179" s="87"/>
      <c r="H179" s="88"/>
      <c r="I179" s="88"/>
      <c r="J179" s="87"/>
      <c r="K179" s="88"/>
      <c r="L179" s="88"/>
    </row>
    <row r="180" spans="1:12" ht="21.6" customHeight="1" x14ac:dyDescent="0.25">
      <c r="A180" s="66"/>
      <c r="B180" s="67"/>
      <c r="C180" s="68"/>
      <c r="D180" s="68"/>
      <c r="E180" s="69"/>
      <c r="F180" s="69"/>
      <c r="G180" s="87"/>
      <c r="H180" s="88"/>
      <c r="I180" s="88"/>
      <c r="J180" s="87"/>
      <c r="K180" s="88"/>
      <c r="L180" s="88"/>
    </row>
    <row r="181" spans="1:12" ht="21.6" customHeight="1" x14ac:dyDescent="0.25">
      <c r="A181" s="66"/>
      <c r="B181" s="67"/>
      <c r="C181" s="68"/>
      <c r="D181" s="68"/>
      <c r="E181" s="69"/>
      <c r="F181" s="69"/>
      <c r="G181" s="87"/>
      <c r="H181" s="88"/>
      <c r="I181" s="88"/>
      <c r="J181" s="87"/>
      <c r="K181" s="88"/>
      <c r="L181" s="88"/>
    </row>
    <row r="182" spans="1:12" ht="21.6" customHeight="1" x14ac:dyDescent="0.25">
      <c r="A182" s="66"/>
      <c r="B182" s="67"/>
      <c r="C182" s="68"/>
      <c r="D182" s="68"/>
      <c r="E182" s="69"/>
      <c r="F182" s="69"/>
      <c r="G182" s="87"/>
      <c r="H182" s="88"/>
      <c r="I182" s="88"/>
      <c r="J182" s="87"/>
      <c r="K182" s="88"/>
      <c r="L182" s="88"/>
    </row>
    <row r="183" spans="1:12" ht="21.6" customHeight="1" x14ac:dyDescent="0.25">
      <c r="A183" s="66"/>
      <c r="B183" s="67"/>
      <c r="C183" s="68"/>
      <c r="D183" s="68"/>
      <c r="E183" s="69"/>
      <c r="F183" s="69"/>
      <c r="G183" s="87"/>
      <c r="H183" s="88"/>
      <c r="I183" s="88"/>
      <c r="J183" s="87"/>
      <c r="K183" s="88"/>
      <c r="L183" s="88"/>
    </row>
    <row r="184" spans="1:12" ht="21.6" customHeight="1" x14ac:dyDescent="0.25">
      <c r="A184" s="66"/>
      <c r="B184" s="67"/>
      <c r="C184" s="68"/>
      <c r="D184" s="68"/>
      <c r="E184" s="69"/>
      <c r="F184" s="69"/>
      <c r="G184" s="87"/>
      <c r="H184" s="88"/>
      <c r="I184" s="88"/>
      <c r="J184" s="87"/>
      <c r="K184" s="88"/>
      <c r="L184" s="88"/>
    </row>
    <row r="185" spans="1:12" ht="21.6" customHeight="1" x14ac:dyDescent="0.25">
      <c r="A185" s="66"/>
      <c r="B185" s="67"/>
      <c r="C185" s="68"/>
      <c r="D185" s="68"/>
      <c r="E185" s="69"/>
      <c r="F185" s="69"/>
      <c r="G185" s="87"/>
      <c r="H185" s="88"/>
      <c r="I185" s="88"/>
      <c r="J185" s="87"/>
      <c r="K185" s="88"/>
      <c r="L185" s="88"/>
    </row>
    <row r="186" spans="1:12" ht="21.6" customHeight="1" x14ac:dyDescent="0.25">
      <c r="A186" s="66"/>
      <c r="B186" s="67"/>
      <c r="C186" s="68"/>
      <c r="D186" s="68"/>
      <c r="E186" s="69"/>
      <c r="F186" s="69"/>
      <c r="G186" s="87"/>
      <c r="H186" s="88"/>
      <c r="I186" s="88"/>
      <c r="J186" s="87"/>
      <c r="K186" s="88"/>
      <c r="L186" s="88"/>
    </row>
    <row r="187" spans="1:12" ht="21.6" customHeight="1" x14ac:dyDescent="0.25">
      <c r="A187" s="66"/>
      <c r="B187" s="67"/>
      <c r="C187" s="68"/>
      <c r="D187" s="68"/>
      <c r="E187" s="69"/>
      <c r="F187" s="69"/>
      <c r="G187" s="87"/>
      <c r="H187" s="88"/>
      <c r="I187" s="88"/>
      <c r="J187" s="87"/>
      <c r="K187" s="88"/>
      <c r="L187" s="88"/>
    </row>
    <row r="188" spans="1:12" ht="21.6" customHeight="1" x14ac:dyDescent="0.25">
      <c r="A188" s="66"/>
      <c r="B188" s="67"/>
      <c r="C188" s="68"/>
      <c r="D188" s="68"/>
      <c r="E188" s="69"/>
      <c r="F188" s="69"/>
      <c r="G188" s="87"/>
      <c r="H188" s="88"/>
      <c r="I188" s="88"/>
      <c r="J188" s="87"/>
      <c r="K188" s="88"/>
      <c r="L188" s="88"/>
    </row>
    <row r="189" spans="1:12" ht="21.6" customHeight="1" x14ac:dyDescent="0.25">
      <c r="A189" s="66"/>
      <c r="B189" s="67"/>
      <c r="C189" s="68"/>
      <c r="D189" s="68"/>
      <c r="E189" s="69"/>
      <c r="F189" s="69"/>
      <c r="G189" s="87"/>
      <c r="H189" s="88"/>
      <c r="I189" s="88"/>
      <c r="J189" s="87"/>
      <c r="K189" s="88"/>
      <c r="L189" s="88"/>
    </row>
    <row r="190" spans="1:12" ht="21.6" customHeight="1" x14ac:dyDescent="0.25">
      <c r="A190" s="66"/>
      <c r="B190" s="67"/>
      <c r="C190" s="68"/>
      <c r="D190" s="68"/>
      <c r="E190" s="69"/>
      <c r="F190" s="69"/>
      <c r="G190" s="87"/>
      <c r="H190" s="88"/>
      <c r="I190" s="88"/>
      <c r="J190" s="87"/>
      <c r="K190" s="88"/>
      <c r="L190" s="88"/>
    </row>
    <row r="191" spans="1:12" ht="21.6" customHeight="1" x14ac:dyDescent="0.25">
      <c r="A191" s="66"/>
      <c r="B191" s="67"/>
      <c r="C191" s="68"/>
      <c r="D191" s="68"/>
      <c r="E191" s="69"/>
      <c r="F191" s="69"/>
      <c r="G191" s="87"/>
      <c r="H191" s="88"/>
      <c r="I191" s="88"/>
      <c r="J191" s="87"/>
      <c r="K191" s="88"/>
      <c r="L191" s="88"/>
    </row>
    <row r="192" spans="1:12" ht="21.6" customHeight="1" x14ac:dyDescent="0.25">
      <c r="A192" s="66"/>
      <c r="B192" s="67"/>
      <c r="C192" s="68"/>
      <c r="D192" s="68"/>
      <c r="E192" s="69"/>
      <c r="F192" s="69"/>
      <c r="G192" s="87"/>
      <c r="H192" s="88"/>
      <c r="I192" s="88"/>
      <c r="J192" s="87"/>
      <c r="K192" s="88"/>
      <c r="L192" s="88"/>
    </row>
    <row r="193" spans="1:12" ht="21.6" customHeight="1" x14ac:dyDescent="0.25">
      <c r="A193" s="66"/>
      <c r="B193" s="67"/>
      <c r="C193" s="68"/>
      <c r="D193" s="68"/>
      <c r="E193" s="69"/>
      <c r="F193" s="69"/>
      <c r="G193" s="87"/>
      <c r="H193" s="88"/>
      <c r="I193" s="88"/>
      <c r="J193" s="87"/>
      <c r="K193" s="88"/>
      <c r="L193" s="88"/>
    </row>
    <row r="194" spans="1:12" ht="21.6" customHeight="1" x14ac:dyDescent="0.25">
      <c r="A194" s="66"/>
      <c r="B194" s="67"/>
      <c r="C194" s="68"/>
      <c r="D194" s="68"/>
      <c r="E194" s="69"/>
      <c r="F194" s="69"/>
      <c r="G194" s="87"/>
      <c r="H194" s="88"/>
      <c r="I194" s="88"/>
      <c r="J194" s="87"/>
      <c r="K194" s="88"/>
      <c r="L194" s="88"/>
    </row>
    <row r="195" spans="1:12" ht="21.6" customHeight="1" x14ac:dyDescent="0.25">
      <c r="A195" s="66"/>
      <c r="B195" s="67"/>
      <c r="C195" s="68"/>
      <c r="D195" s="68"/>
      <c r="E195" s="69"/>
      <c r="F195" s="69"/>
      <c r="G195" s="87"/>
      <c r="H195" s="88"/>
      <c r="I195" s="88"/>
      <c r="J195" s="87"/>
      <c r="K195" s="88"/>
      <c r="L195" s="88"/>
    </row>
    <row r="196" spans="1:12" ht="21.6" customHeight="1" x14ac:dyDescent="0.25">
      <c r="A196" s="66"/>
      <c r="B196" s="67"/>
      <c r="C196" s="68"/>
      <c r="D196" s="68"/>
      <c r="E196" s="69"/>
      <c r="F196" s="69"/>
      <c r="G196" s="87"/>
      <c r="H196" s="88"/>
      <c r="I196" s="88"/>
      <c r="J196" s="87"/>
      <c r="K196" s="88"/>
      <c r="L196" s="88"/>
    </row>
    <row r="197" spans="1:12" ht="21.6" customHeight="1" x14ac:dyDescent="0.25">
      <c r="A197" s="66"/>
      <c r="B197" s="67"/>
      <c r="C197" s="68"/>
      <c r="D197" s="68"/>
      <c r="E197" s="69"/>
      <c r="F197" s="69"/>
      <c r="G197" s="87"/>
      <c r="H197" s="88"/>
      <c r="I197" s="88"/>
      <c r="J197" s="87"/>
      <c r="K197" s="88"/>
      <c r="L197" s="88"/>
    </row>
    <row r="198" spans="1:12" ht="21.6" customHeight="1" x14ac:dyDescent="0.25">
      <c r="A198" s="66"/>
      <c r="B198" s="67"/>
      <c r="C198" s="68"/>
      <c r="D198" s="68"/>
      <c r="E198" s="69"/>
      <c r="F198" s="69"/>
      <c r="G198" s="87"/>
      <c r="H198" s="88"/>
      <c r="I198" s="88"/>
      <c r="J198" s="87"/>
      <c r="K198" s="88"/>
      <c r="L198" s="88"/>
    </row>
    <row r="199" spans="1:12" ht="21.6" customHeight="1" x14ac:dyDescent="0.25">
      <c r="A199" s="66"/>
      <c r="B199" s="67"/>
      <c r="C199" s="68"/>
      <c r="D199" s="68"/>
      <c r="E199" s="69"/>
      <c r="F199" s="69"/>
      <c r="G199" s="87"/>
      <c r="H199" s="88"/>
      <c r="I199" s="88"/>
      <c r="J199" s="87"/>
      <c r="K199" s="88"/>
      <c r="L199" s="88"/>
    </row>
    <row r="200" spans="1:12" ht="21.6" customHeight="1" x14ac:dyDescent="0.25">
      <c r="A200" s="66"/>
      <c r="B200" s="67"/>
      <c r="C200" s="68"/>
      <c r="D200" s="68"/>
      <c r="E200" s="69"/>
      <c r="F200" s="69"/>
      <c r="G200" s="87"/>
      <c r="H200" s="88"/>
      <c r="I200" s="88"/>
      <c r="J200" s="87"/>
      <c r="K200" s="88"/>
      <c r="L200" s="88"/>
    </row>
    <row r="201" spans="1:12" ht="21.6" customHeight="1" x14ac:dyDescent="0.25">
      <c r="A201" s="66"/>
      <c r="B201" s="67"/>
      <c r="C201" s="68"/>
      <c r="D201" s="68"/>
      <c r="E201" s="69"/>
      <c r="F201" s="69"/>
      <c r="G201" s="87"/>
      <c r="H201" s="88"/>
      <c r="I201" s="88"/>
      <c r="J201" s="87"/>
      <c r="K201" s="88"/>
      <c r="L201" s="88"/>
    </row>
    <row r="202" spans="1:12" ht="21.6" customHeight="1" x14ac:dyDescent="0.25">
      <c r="A202" s="66"/>
      <c r="B202" s="67"/>
      <c r="C202" s="68"/>
      <c r="D202" s="68"/>
      <c r="E202" s="69"/>
      <c r="F202" s="69"/>
      <c r="G202" s="87"/>
      <c r="H202" s="88"/>
      <c r="I202" s="88"/>
      <c r="J202" s="87"/>
      <c r="K202" s="88"/>
      <c r="L202" s="88"/>
    </row>
    <row r="203" spans="1:12" ht="21.6" customHeight="1" x14ac:dyDescent="0.25">
      <c r="A203" s="66"/>
      <c r="B203" s="67"/>
      <c r="C203" s="68"/>
      <c r="D203" s="68"/>
      <c r="E203" s="69"/>
      <c r="F203" s="69"/>
      <c r="G203" s="87"/>
      <c r="H203" s="88"/>
      <c r="I203" s="88"/>
      <c r="J203" s="87"/>
      <c r="K203" s="88"/>
      <c r="L203" s="88"/>
    </row>
    <row r="204" spans="1:12" ht="21.6" customHeight="1" x14ac:dyDescent="0.25">
      <c r="A204" s="66"/>
      <c r="B204" s="67"/>
      <c r="C204" s="68"/>
      <c r="D204" s="68"/>
      <c r="E204" s="69"/>
      <c r="F204" s="69"/>
      <c r="G204" s="87"/>
      <c r="H204" s="88"/>
      <c r="I204" s="88"/>
      <c r="J204" s="87"/>
      <c r="K204" s="88"/>
      <c r="L204" s="88"/>
    </row>
    <row r="205" spans="1:12" ht="21.6" customHeight="1" x14ac:dyDescent="0.25">
      <c r="A205" s="66"/>
      <c r="B205" s="67"/>
      <c r="C205" s="68"/>
      <c r="D205" s="68"/>
      <c r="E205" s="69"/>
      <c r="F205" s="69"/>
      <c r="G205" s="87"/>
      <c r="H205" s="88"/>
      <c r="I205" s="88"/>
      <c r="J205" s="87"/>
      <c r="K205" s="88"/>
      <c r="L205" s="88"/>
    </row>
    <row r="206" spans="1:12" ht="21.6" customHeight="1" x14ac:dyDescent="0.25">
      <c r="A206" s="66"/>
      <c r="B206" s="67"/>
      <c r="C206" s="68"/>
      <c r="D206" s="68"/>
      <c r="E206" s="69"/>
      <c r="F206" s="69"/>
      <c r="G206" s="87"/>
      <c r="H206" s="88"/>
      <c r="I206" s="88"/>
      <c r="J206" s="87"/>
      <c r="K206" s="88"/>
      <c r="L206" s="88"/>
    </row>
    <row r="207" spans="1:12" ht="21.6" customHeight="1" x14ac:dyDescent="0.25">
      <c r="A207" s="66"/>
      <c r="B207" s="67"/>
      <c r="C207" s="68"/>
      <c r="D207" s="68"/>
      <c r="E207" s="69"/>
      <c r="F207" s="69"/>
      <c r="G207" s="87"/>
      <c r="H207" s="88"/>
      <c r="I207" s="88"/>
      <c r="J207" s="87"/>
      <c r="K207" s="88"/>
      <c r="L207" s="88"/>
    </row>
    <row r="208" spans="1:12" ht="21.6" customHeight="1" x14ac:dyDescent="0.25">
      <c r="A208" s="66"/>
      <c r="B208" s="67"/>
      <c r="C208" s="68"/>
      <c r="D208" s="68"/>
      <c r="E208" s="69"/>
      <c r="F208" s="69"/>
      <c r="G208" s="87"/>
      <c r="H208" s="88"/>
      <c r="I208" s="88"/>
      <c r="J208" s="87"/>
      <c r="K208" s="88"/>
      <c r="L208" s="88"/>
    </row>
    <row r="209" spans="1:14" ht="21.6" customHeight="1" x14ac:dyDescent="0.25">
      <c r="A209" s="66"/>
      <c r="B209" s="67"/>
      <c r="C209" s="68"/>
      <c r="D209" s="68"/>
      <c r="E209" s="69"/>
      <c r="F209" s="69"/>
      <c r="G209" s="87"/>
      <c r="H209" s="88"/>
      <c r="I209" s="88"/>
      <c r="J209" s="87"/>
      <c r="K209" s="88"/>
      <c r="L209" s="88"/>
    </row>
    <row r="210" spans="1:14" ht="21.6" customHeight="1" x14ac:dyDescent="0.25">
      <c r="A210" s="66"/>
      <c r="B210" s="67"/>
      <c r="C210" s="68"/>
      <c r="D210" s="68"/>
      <c r="E210" s="69"/>
      <c r="F210" s="69"/>
      <c r="G210" s="87"/>
      <c r="H210" s="88"/>
      <c r="I210" s="88"/>
      <c r="J210" s="87"/>
      <c r="K210" s="88"/>
      <c r="L210" s="88"/>
    </row>
    <row r="211" spans="1:14" ht="21.6" customHeight="1" x14ac:dyDescent="0.25">
      <c r="A211" s="66"/>
      <c r="B211" s="67"/>
      <c r="C211" s="68"/>
      <c r="D211" s="68"/>
      <c r="E211" s="69"/>
      <c r="F211" s="69"/>
      <c r="G211" s="87"/>
      <c r="H211" s="88"/>
      <c r="I211" s="88"/>
      <c r="J211" s="87"/>
      <c r="K211" s="88"/>
      <c r="L211" s="88"/>
    </row>
    <row r="212" spans="1:14" ht="21.6" customHeight="1" x14ac:dyDescent="0.25">
      <c r="A212" s="66"/>
      <c r="B212" s="67"/>
      <c r="C212" s="68"/>
      <c r="D212" s="68"/>
      <c r="E212" s="69"/>
      <c r="F212" s="69"/>
      <c r="G212" s="87"/>
      <c r="H212" s="88"/>
      <c r="I212" s="88"/>
      <c r="J212" s="87"/>
      <c r="K212" s="88"/>
      <c r="L212" s="88"/>
    </row>
    <row r="213" spans="1:14" ht="21.6" customHeight="1" x14ac:dyDescent="0.25">
      <c r="A213" s="66"/>
      <c r="B213" s="67"/>
      <c r="C213" s="68"/>
      <c r="D213" s="68"/>
      <c r="E213" s="69"/>
      <c r="F213" s="69"/>
      <c r="G213" s="87"/>
      <c r="H213" s="88"/>
      <c r="I213" s="88"/>
      <c r="J213" s="87"/>
      <c r="K213" s="88"/>
      <c r="L213" s="88"/>
    </row>
    <row r="214" spans="1:14" ht="21.6" customHeight="1" x14ac:dyDescent="0.25">
      <c r="A214" s="66"/>
      <c r="B214" s="67"/>
      <c r="C214" s="68"/>
      <c r="D214" s="68"/>
      <c r="E214" s="69"/>
      <c r="F214" s="69"/>
      <c r="G214" s="87"/>
      <c r="H214" s="88"/>
      <c r="I214" s="88"/>
      <c r="J214" s="87"/>
      <c r="K214" s="88"/>
      <c r="L214" s="88"/>
    </row>
    <row r="215" spans="1:14" ht="21.6" customHeight="1" x14ac:dyDescent="0.25">
      <c r="A215" s="66"/>
      <c r="B215" s="67"/>
      <c r="C215" s="68"/>
      <c r="D215" s="68"/>
      <c r="E215" s="69"/>
      <c r="F215" s="69"/>
      <c r="G215" s="87"/>
      <c r="H215" s="88"/>
      <c r="I215" s="88"/>
      <c r="J215" s="87"/>
      <c r="K215" s="88"/>
      <c r="L215" s="88"/>
    </row>
    <row r="216" spans="1:14" ht="21.6" customHeight="1" x14ac:dyDescent="0.25">
      <c r="A216" s="66"/>
      <c r="B216" s="67"/>
      <c r="C216" s="68"/>
      <c r="D216" s="68"/>
      <c r="E216" s="69"/>
      <c r="F216" s="69"/>
      <c r="G216" s="87"/>
      <c r="H216" s="88"/>
      <c r="I216" s="88"/>
      <c r="J216" s="87"/>
      <c r="K216" s="88"/>
      <c r="L216" s="88"/>
    </row>
    <row r="217" spans="1:14" ht="21.6" customHeight="1" x14ac:dyDescent="0.2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N217" s="10"/>
    </row>
    <row r="220" spans="1:14" ht="21.6" customHeight="1" x14ac:dyDescent="0.25">
      <c r="E220" s="10"/>
    </row>
    <row r="222" spans="1:14" ht="21.6" customHeight="1" x14ac:dyDescent="0.25">
      <c r="E222" s="286"/>
      <c r="F222" s="287"/>
      <c r="G222" s="286"/>
      <c r="H222" s="287"/>
      <c r="I222" s="287"/>
    </row>
  </sheetData>
  <mergeCells count="348">
    <mergeCell ref="A129:L129"/>
    <mergeCell ref="A127:B127"/>
    <mergeCell ref="E127:F127"/>
    <mergeCell ref="A131:A132"/>
    <mergeCell ref="A123:A124"/>
    <mergeCell ref="A141:A142"/>
    <mergeCell ref="E143:F143"/>
    <mergeCell ref="C133:D133"/>
    <mergeCell ref="E133:F133"/>
    <mergeCell ref="J124:L124"/>
    <mergeCell ref="E123:F124"/>
    <mergeCell ref="G125:I125"/>
    <mergeCell ref="J125:L125"/>
    <mergeCell ref="J133:L133"/>
    <mergeCell ref="E125:F125"/>
    <mergeCell ref="J126:L126"/>
    <mergeCell ref="G134:I134"/>
    <mergeCell ref="E126:F126"/>
    <mergeCell ref="E136:F136"/>
    <mergeCell ref="C136:D136"/>
    <mergeCell ref="C135:D135"/>
    <mergeCell ref="E135:F135"/>
    <mergeCell ref="G135:I135"/>
    <mergeCell ref="J135:L135"/>
    <mergeCell ref="A90:A91"/>
    <mergeCell ref="C90:C91"/>
    <mergeCell ref="B90:B91"/>
    <mergeCell ref="G90:L90"/>
    <mergeCell ref="G91:I91"/>
    <mergeCell ref="J94:L94"/>
    <mergeCell ref="G92:I92"/>
    <mergeCell ref="J92:L92"/>
    <mergeCell ref="B98:B99"/>
    <mergeCell ref="G99:I99"/>
    <mergeCell ref="J99:L99"/>
    <mergeCell ref="A98:A99"/>
    <mergeCell ref="A102:B102"/>
    <mergeCell ref="E119:F119"/>
    <mergeCell ref="C115:C116"/>
    <mergeCell ref="G123:L123"/>
    <mergeCell ref="G124:I124"/>
    <mergeCell ref="B115:B116"/>
    <mergeCell ref="D115:D116"/>
    <mergeCell ref="E98:F99"/>
    <mergeCell ref="D98:D99"/>
    <mergeCell ref="C98:C99"/>
    <mergeCell ref="G102:I102"/>
    <mergeCell ref="E101:F101"/>
    <mergeCell ref="F106:F108"/>
    <mergeCell ref="A121:L121"/>
    <mergeCell ref="C106:C108"/>
    <mergeCell ref="B106:B108"/>
    <mergeCell ref="A106:A108"/>
    <mergeCell ref="A104:L104"/>
    <mergeCell ref="G106:L106"/>
    <mergeCell ref="D123:D124"/>
    <mergeCell ref="C123:C124"/>
    <mergeCell ref="G117:I117"/>
    <mergeCell ref="J117:L117"/>
    <mergeCell ref="D106:D108"/>
    <mergeCell ref="E115:F116"/>
    <mergeCell ref="J107:L107"/>
    <mergeCell ref="E106:E108"/>
    <mergeCell ref="J118:L118"/>
    <mergeCell ref="G119:I119"/>
    <mergeCell ref="J119:L119"/>
    <mergeCell ref="A113:L113"/>
    <mergeCell ref="B123:B124"/>
    <mergeCell ref="G115:L115"/>
    <mergeCell ref="A111:B111"/>
    <mergeCell ref="A12:L12"/>
    <mergeCell ref="A2:L2"/>
    <mergeCell ref="A6:A7"/>
    <mergeCell ref="G94:I94"/>
    <mergeCell ref="A94:B94"/>
    <mergeCell ref="F90:F91"/>
    <mergeCell ref="E90:E91"/>
    <mergeCell ref="D90:D91"/>
    <mergeCell ref="J91:L91"/>
    <mergeCell ref="J74:L74"/>
    <mergeCell ref="G75:I75"/>
    <mergeCell ref="J75:L75"/>
    <mergeCell ref="J93:L93"/>
    <mergeCell ref="E84:F84"/>
    <mergeCell ref="G80:L80"/>
    <mergeCell ref="G81:I81"/>
    <mergeCell ref="J81:L81"/>
    <mergeCell ref="G82:I82"/>
    <mergeCell ref="J83:L83"/>
    <mergeCell ref="G84:I84"/>
    <mergeCell ref="J84:L84"/>
    <mergeCell ref="G17:I17"/>
    <mergeCell ref="J17:L17"/>
    <mergeCell ref="J18:L18"/>
    <mergeCell ref="A1:L1"/>
    <mergeCell ref="A20:L20"/>
    <mergeCell ref="F14:F15"/>
    <mergeCell ref="E14:E15"/>
    <mergeCell ref="D14:D15"/>
    <mergeCell ref="C14:C15"/>
    <mergeCell ref="B14:B15"/>
    <mergeCell ref="A14:A15"/>
    <mergeCell ref="C22:C23"/>
    <mergeCell ref="B22:B23"/>
    <mergeCell ref="A22:A23"/>
    <mergeCell ref="D22:D23"/>
    <mergeCell ref="F22:F23"/>
    <mergeCell ref="E22:E23"/>
    <mergeCell ref="G14:L14"/>
    <mergeCell ref="G15:I15"/>
    <mergeCell ref="J15:L15"/>
    <mergeCell ref="G16:I16"/>
    <mergeCell ref="B6:B7"/>
    <mergeCell ref="C6:C7"/>
    <mergeCell ref="D6:D7"/>
    <mergeCell ref="E6:E7"/>
    <mergeCell ref="J16:L16"/>
    <mergeCell ref="A18:B18"/>
    <mergeCell ref="G18:I18"/>
    <mergeCell ref="G22:L22"/>
    <mergeCell ref="J56:L56"/>
    <mergeCell ref="G35:I35"/>
    <mergeCell ref="J35:L35"/>
    <mergeCell ref="G36:I36"/>
    <mergeCell ref="J36:L36"/>
    <mergeCell ref="G37:I37"/>
    <mergeCell ref="J37:L37"/>
    <mergeCell ref="J38:L38"/>
    <mergeCell ref="G41:I41"/>
    <mergeCell ref="J41:L41"/>
    <mergeCell ref="G55:I55"/>
    <mergeCell ref="J34:L34"/>
    <mergeCell ref="G23:I23"/>
    <mergeCell ref="J23:L23"/>
    <mergeCell ref="G24:I24"/>
    <mergeCell ref="J24:L24"/>
    <mergeCell ref="A30:L30"/>
    <mergeCell ref="B32:D33"/>
    <mergeCell ref="A32:A33"/>
    <mergeCell ref="B38:D38"/>
    <mergeCell ref="B36:D36"/>
    <mergeCell ref="B37:D37"/>
    <mergeCell ref="G38:I38"/>
    <mergeCell ref="G43:I43"/>
    <mergeCell ref="G42:I42"/>
    <mergeCell ref="B46:D46"/>
    <mergeCell ref="G54:I54"/>
    <mergeCell ref="F32:F33"/>
    <mergeCell ref="B35:D35"/>
    <mergeCell ref="A26:B26"/>
    <mergeCell ref="G25:I25"/>
    <mergeCell ref="A50:L50"/>
    <mergeCell ref="B47:D47"/>
    <mergeCell ref="C53:C54"/>
    <mergeCell ref="J42:L42"/>
    <mergeCell ref="G48:I48"/>
    <mergeCell ref="B43:D43"/>
    <mergeCell ref="B44:D44"/>
    <mergeCell ref="B45:D45"/>
    <mergeCell ref="J43:L43"/>
    <mergeCell ref="J25:L25"/>
    <mergeCell ref="G26:I26"/>
    <mergeCell ref="J26:L26"/>
    <mergeCell ref="E32:E33"/>
    <mergeCell ref="G32:L32"/>
    <mergeCell ref="G33:I33"/>
    <mergeCell ref="J33:L33"/>
    <mergeCell ref="B34:D34"/>
    <mergeCell ref="G34:I34"/>
    <mergeCell ref="G63:I63"/>
    <mergeCell ref="J63:L63"/>
    <mergeCell ref="G64:I64"/>
    <mergeCell ref="J64:L64"/>
    <mergeCell ref="D62:D63"/>
    <mergeCell ref="C62:C63"/>
    <mergeCell ref="B39:D39"/>
    <mergeCell ref="J44:L44"/>
    <mergeCell ref="G47:I47"/>
    <mergeCell ref="J47:L47"/>
    <mergeCell ref="G46:I46"/>
    <mergeCell ref="G56:I56"/>
    <mergeCell ref="A59:L59"/>
    <mergeCell ref="B53:B54"/>
    <mergeCell ref="A53:A54"/>
    <mergeCell ref="G53:L53"/>
    <mergeCell ref="G57:I57"/>
    <mergeCell ref="J57:L57"/>
    <mergeCell ref="J54:L54"/>
    <mergeCell ref="G39:I39"/>
    <mergeCell ref="G45:I45"/>
    <mergeCell ref="J48:L48"/>
    <mergeCell ref="G116:I116"/>
    <mergeCell ref="J116:L116"/>
    <mergeCell ref="J82:L82"/>
    <mergeCell ref="J39:L39"/>
    <mergeCell ref="E55:F55"/>
    <mergeCell ref="E56:F56"/>
    <mergeCell ref="A57:B57"/>
    <mergeCell ref="E57:F57"/>
    <mergeCell ref="J45:L45"/>
    <mergeCell ref="G40:I40"/>
    <mergeCell ref="J40:L40"/>
    <mergeCell ref="B40:D40"/>
    <mergeCell ref="B41:D41"/>
    <mergeCell ref="B42:D42"/>
    <mergeCell ref="G44:I44"/>
    <mergeCell ref="A48:D48"/>
    <mergeCell ref="G71:L71"/>
    <mergeCell ref="E65:F65"/>
    <mergeCell ref="A68:L68"/>
    <mergeCell ref="E53:F54"/>
    <mergeCell ref="J46:L46"/>
    <mergeCell ref="J55:L55"/>
    <mergeCell ref="A80:A81"/>
    <mergeCell ref="E80:F81"/>
    <mergeCell ref="J73:L73"/>
    <mergeCell ref="E74:F74"/>
    <mergeCell ref="G74:I74"/>
    <mergeCell ref="G93:I93"/>
    <mergeCell ref="G107:I107"/>
    <mergeCell ref="J101:L101"/>
    <mergeCell ref="D53:D54"/>
    <mergeCell ref="B80:B81"/>
    <mergeCell ref="C80:C81"/>
    <mergeCell ref="D80:D81"/>
    <mergeCell ref="G83:I83"/>
    <mergeCell ref="G100:I100"/>
    <mergeCell ref="J100:L100"/>
    <mergeCell ref="E100:F100"/>
    <mergeCell ref="E102:F102"/>
    <mergeCell ref="A84:B84"/>
    <mergeCell ref="G101:I101"/>
    <mergeCell ref="G98:L98"/>
    <mergeCell ref="A96:L96"/>
    <mergeCell ref="E82:F82"/>
    <mergeCell ref="A75:B75"/>
    <mergeCell ref="E75:F75"/>
    <mergeCell ref="J102:L102"/>
    <mergeCell ref="A62:A63"/>
    <mergeCell ref="E71:F72"/>
    <mergeCell ref="A71:A72"/>
    <mergeCell ref="G65:I65"/>
    <mergeCell ref="J65:L65"/>
    <mergeCell ref="G66:I66"/>
    <mergeCell ref="J66:L66"/>
    <mergeCell ref="E62:F63"/>
    <mergeCell ref="G62:L62"/>
    <mergeCell ref="G72:I72"/>
    <mergeCell ref="J72:L72"/>
    <mergeCell ref="B62:B63"/>
    <mergeCell ref="E64:F64"/>
    <mergeCell ref="D71:D72"/>
    <mergeCell ref="C71:C72"/>
    <mergeCell ref="A66:B66"/>
    <mergeCell ref="E66:F66"/>
    <mergeCell ref="B71:B72"/>
    <mergeCell ref="E83:F83"/>
    <mergeCell ref="A77:L77"/>
    <mergeCell ref="A86:L86"/>
    <mergeCell ref="A88:L88"/>
    <mergeCell ref="E73:F73"/>
    <mergeCell ref="G73:I73"/>
    <mergeCell ref="G126:I126"/>
    <mergeCell ref="E118:F118"/>
    <mergeCell ref="J134:L134"/>
    <mergeCell ref="G127:I127"/>
    <mergeCell ref="J127:L127"/>
    <mergeCell ref="G131:L131"/>
    <mergeCell ref="G118:I118"/>
    <mergeCell ref="A119:B119"/>
    <mergeCell ref="A115:A116"/>
    <mergeCell ref="G132:I132"/>
    <mergeCell ref="J132:L132"/>
    <mergeCell ref="G133:I133"/>
    <mergeCell ref="E117:F117"/>
    <mergeCell ref="C134:D134"/>
    <mergeCell ref="E134:F134"/>
    <mergeCell ref="E131:F132"/>
    <mergeCell ref="C131:D132"/>
    <mergeCell ref="B131:B132"/>
    <mergeCell ref="G222:I222"/>
    <mergeCell ref="J149:L149"/>
    <mergeCell ref="G149:I149"/>
    <mergeCell ref="G148:I148"/>
    <mergeCell ref="J148:L148"/>
    <mergeCell ref="G143:I143"/>
    <mergeCell ref="J143:L143"/>
    <mergeCell ref="J137:L137"/>
    <mergeCell ref="G137:I137"/>
    <mergeCell ref="A139:L139"/>
    <mergeCell ref="G141:L141"/>
    <mergeCell ref="G142:I142"/>
    <mergeCell ref="J142:L142"/>
    <mergeCell ref="A137:B137"/>
    <mergeCell ref="C137:D137"/>
    <mergeCell ref="E137:F137"/>
    <mergeCell ref="E222:F222"/>
    <mergeCell ref="A149:B149"/>
    <mergeCell ref="B141:B142"/>
    <mergeCell ref="A160:B160"/>
    <mergeCell ref="J145:L145"/>
    <mergeCell ref="J146:L146"/>
    <mergeCell ref="G145:I145"/>
    <mergeCell ref="G146:I146"/>
    <mergeCell ref="G7:I7"/>
    <mergeCell ref="J7:L7"/>
    <mergeCell ref="G8:I8"/>
    <mergeCell ref="J8:L8"/>
    <mergeCell ref="G9:I9"/>
    <mergeCell ref="J9:L9"/>
    <mergeCell ref="A10:B10"/>
    <mergeCell ref="G10:I10"/>
    <mergeCell ref="J10:L10"/>
    <mergeCell ref="F6:F7"/>
    <mergeCell ref="G6:L6"/>
    <mergeCell ref="E146:F146"/>
    <mergeCell ref="E145:F145"/>
    <mergeCell ref="G136:I136"/>
    <mergeCell ref="J136:L136"/>
    <mergeCell ref="E141:F142"/>
    <mergeCell ref="D141:D142"/>
    <mergeCell ref="C141:C142"/>
    <mergeCell ref="G163:H163"/>
    <mergeCell ref="G164:H164"/>
    <mergeCell ref="E144:F144"/>
    <mergeCell ref="G144:I144"/>
    <mergeCell ref="J144:L144"/>
    <mergeCell ref="E147:F147"/>
    <mergeCell ref="G147:I147"/>
    <mergeCell ref="J147:L147"/>
    <mergeCell ref="G165:H165"/>
    <mergeCell ref="I162:J162"/>
    <mergeCell ref="I163:J163"/>
    <mergeCell ref="I164:J164"/>
    <mergeCell ref="I165:J165"/>
    <mergeCell ref="E148:F148"/>
    <mergeCell ref="E149:F149"/>
    <mergeCell ref="G162:H162"/>
    <mergeCell ref="A153:L153"/>
    <mergeCell ref="A155:A157"/>
    <mergeCell ref="B155:B157"/>
    <mergeCell ref="C155:C157"/>
    <mergeCell ref="D155:D157"/>
    <mergeCell ref="E155:E157"/>
    <mergeCell ref="F155:F157"/>
    <mergeCell ref="G155:L155"/>
    <mergeCell ref="G156:I156"/>
    <mergeCell ref="J156:L156"/>
  </mergeCells>
  <pageMargins left="0.39370078740157483" right="0.23622047244094491" top="0.59055118110236227" bottom="0.19685039370078741" header="0.19685039370078741" footer="0.31496062992125984"/>
  <pageSetup paperSize="9" scale="70" orientation="portrait" r:id="rId1"/>
  <headerFooter>
    <oddHeader>&amp;CСубсидия на иные цели за счет средств бюджета городского округа Мытищи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зп</vt:lpstr>
      <vt:lpstr>Бюджет</vt:lpstr>
      <vt:lpstr>внебюджет</vt:lpstr>
      <vt:lpstr>Целевые</vt:lpstr>
      <vt:lpstr>Бюджет!Область_печати</vt:lpstr>
      <vt:lpstr>внебюджет!Область_печати</vt:lpstr>
      <vt:lpstr>зп!Область_печати</vt:lpstr>
      <vt:lpstr>Целевые!Область_печати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2023-03-21T07:05:24Z</dcterms:modified>
</cp:coreProperties>
</file>